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5835" windowWidth="15480" windowHeight="7665" activeTab="0"/>
  </bookViews>
  <sheets>
    <sheet name="Loading Calcs" sheetId="1" r:id="rId1"/>
    <sheet name="rainfall" sheetId="2" r:id="rId2"/>
    <sheet name="bmps" sheetId="3" r:id="rId3"/>
  </sheets>
  <definedNames>
    <definedName name="BMP">'bmps'!$A$1:$A$13</definedName>
    <definedName name="Location">'rainfall'!$A$2:$A$9</definedName>
    <definedName name="Stormceptor">'bmps'!$D$26:$D$38</definedName>
    <definedName name="Vortech">'bmps'!$I$26:$I$36</definedName>
  </definedNames>
  <calcPr fullCalcOnLoad="1"/>
</workbook>
</file>

<file path=xl/comments1.xml><?xml version="1.0" encoding="utf-8"?>
<comments xmlns="http://schemas.openxmlformats.org/spreadsheetml/2006/main">
  <authors>
    <author>james bice</author>
    <author>jbice</author>
    <author>CFritz</author>
  </authors>
  <commentList>
    <comment ref="C78" authorId="0">
      <text>
        <r>
          <rPr>
            <b/>
            <sz val="8"/>
            <color indexed="14"/>
            <rFont val="Tahoma"/>
            <family val="2"/>
          </rPr>
          <t>The BMP may be sized to remove the desired load from this drainage basin and/or other drainage basins by entering the desired TSS load into cell C78</t>
        </r>
        <r>
          <rPr>
            <b/>
            <sz val="8"/>
            <rFont val="Tahoma"/>
            <family val="0"/>
          </rPr>
          <t>.</t>
        </r>
        <r>
          <rPr>
            <sz val="8"/>
            <rFont val="Tahoma"/>
            <family val="0"/>
          </rPr>
          <t xml:space="preserve">
</t>
        </r>
      </text>
    </comment>
    <comment ref="C80" authorId="0">
      <text>
        <r>
          <rPr>
            <b/>
            <sz val="8"/>
            <color indexed="14"/>
            <rFont val="Tahoma"/>
            <family val="2"/>
          </rPr>
          <t>There is no minimum value for the fraction F; however, the fraction F cannot be greater than 1.  If a value greater than 1 is calculated, a different type of BMP must be selected or the desired load removal in cell C78 must be reduced until F is equal to or less than 1.</t>
        </r>
        <r>
          <rPr>
            <sz val="8"/>
            <rFont val="Tahoma"/>
            <family val="0"/>
          </rPr>
          <t xml:space="preserve">
</t>
        </r>
      </text>
    </comment>
    <comment ref="A6" authorId="0">
      <text>
        <r>
          <rPr>
            <b/>
            <sz val="8"/>
            <color indexed="14"/>
            <rFont val="Tahoma"/>
            <family val="2"/>
          </rPr>
          <t>Cells with a red triangle in the upper right corner provide instructions/comments/information associated with the use of the spreadsheet.</t>
        </r>
      </text>
    </comment>
    <comment ref="C30" authorId="0">
      <text>
        <r>
          <rPr>
            <b/>
            <sz val="8"/>
            <color indexed="14"/>
            <rFont val="Tahoma"/>
            <family val="2"/>
          </rPr>
          <t>Enter the total number of drainage basins or outfalls from the site.</t>
        </r>
      </text>
    </comment>
    <comment ref="C35" authorId="0">
      <text>
        <r>
          <rPr>
            <b/>
            <sz val="8"/>
            <color indexed="14"/>
            <rFont val="Tahoma"/>
            <family val="2"/>
          </rPr>
          <t>Enter the designation for this drainage basin or BMP.  Calculations must be provided for each Drainage Basin or outfall from the site.</t>
        </r>
      </text>
    </comment>
    <comment ref="C45" authorId="0">
      <text>
        <r>
          <rPr>
            <b/>
            <sz val="8"/>
            <color indexed="14"/>
            <rFont val="Tahoma"/>
            <family val="2"/>
          </rPr>
          <t>Select this cell and then click on the grey box to the right of the cell to make selection from the drop down menu.</t>
        </r>
      </text>
    </comment>
    <comment ref="C72" authorId="0">
      <text>
        <r>
          <rPr>
            <b/>
            <sz val="8"/>
            <color indexed="14"/>
            <rFont val="Tahoma"/>
            <family val="2"/>
          </rPr>
          <t>L</t>
        </r>
        <r>
          <rPr>
            <b/>
            <vertAlign val="subscript"/>
            <sz val="10"/>
            <color indexed="14"/>
            <rFont val="Tahoma"/>
            <family val="2"/>
          </rPr>
          <t>R</t>
        </r>
        <r>
          <rPr>
            <b/>
            <sz val="8"/>
            <color indexed="14"/>
            <rFont val="Tahoma"/>
            <family val="2"/>
          </rPr>
          <t xml:space="preserve"> is the maximum load available for removal from the defined drainage basin configuration (Drainage basin area &amp; proposed impervious cover in drainage basin). L</t>
        </r>
        <r>
          <rPr>
            <b/>
            <vertAlign val="subscript"/>
            <sz val="10"/>
            <color indexed="14"/>
            <rFont val="Tahoma"/>
            <family val="2"/>
          </rPr>
          <t>R</t>
        </r>
        <r>
          <rPr>
            <b/>
            <sz val="8"/>
            <color indexed="14"/>
            <rFont val="Tahoma"/>
            <family val="2"/>
          </rPr>
          <t xml:space="preserve"> is not what is removed by your BMP unless L</t>
        </r>
        <r>
          <rPr>
            <b/>
            <vertAlign val="subscript"/>
            <sz val="10"/>
            <color indexed="14"/>
            <rFont val="Tahoma"/>
            <family val="2"/>
          </rPr>
          <t>M</t>
        </r>
        <r>
          <rPr>
            <b/>
            <sz val="8"/>
            <color indexed="14"/>
            <rFont val="Tahoma"/>
            <family val="2"/>
          </rPr>
          <t xml:space="preserve"> = L</t>
        </r>
        <r>
          <rPr>
            <b/>
            <vertAlign val="subscript"/>
            <sz val="10"/>
            <color indexed="14"/>
            <rFont val="Tahoma"/>
            <family val="2"/>
          </rPr>
          <t>R.</t>
        </r>
        <r>
          <rPr>
            <sz val="8"/>
            <rFont val="Tahoma"/>
            <family val="0"/>
          </rPr>
          <t xml:space="preserve">
</t>
        </r>
      </text>
    </comment>
    <comment ref="C20" authorId="0">
      <text>
        <r>
          <rPr>
            <b/>
            <sz val="8"/>
            <color indexed="14"/>
            <rFont val="Tahoma"/>
            <family val="2"/>
          </rPr>
          <t>Select this cell and then click on the grey box to the right of the cell to make selection from the drop down menu.</t>
        </r>
      </text>
    </comment>
    <comment ref="C86" authorId="0">
      <text>
        <r>
          <rPr>
            <b/>
            <sz val="8"/>
            <color indexed="14"/>
            <rFont val="Tahoma"/>
            <family val="2"/>
          </rPr>
          <t xml:space="preserve">The impervious cover value used in the calculations for the Runoff Coefficient = IC in Drainage Area to the BMP / Drainage Area to the BMP. </t>
        </r>
      </text>
    </comment>
    <comment ref="C27" authorId="0">
      <text>
        <r>
          <rPr>
            <b/>
            <sz val="8"/>
            <color indexed="14"/>
            <rFont val="Tahoma"/>
            <family val="2"/>
          </rPr>
          <t>This is the required TSS load that must be removed prior to the stormwater runoff being released from this site (80 percent of increased TSS load resulting from the development of the site).
If the drainage from the total project is directed to one BMP, enter the proposed BMP type in Cell C45 and the load calculated in cell C27 into cell C78.  Then go to Section 6 to proceed with the sizing of the proposed BMP.
If more than one drainage basin or outfalls are proposed within the project, calculations for each drainage basin/outfall should be prepared.  The calculations must include Sections 2 through 6 and the Section for the appropriate BMP proposed.
A summation of the load removal calculations should include justifications indicating that the project meets the requirements of the Edwards Aquifer Rules.
The permanent BMP calculations and summary must be signed, sealed, and dated by the P.E. and submitted with the Edwards Aquifer Protection Plan Application.</t>
        </r>
        <r>
          <rPr>
            <sz val="8"/>
            <rFont val="Tahoma"/>
            <family val="0"/>
          </rPr>
          <t xml:space="preserve">
</t>
        </r>
      </text>
    </comment>
    <comment ref="C41" authorId="0">
      <text>
        <r>
          <rPr>
            <b/>
            <sz val="8"/>
            <color indexed="14"/>
            <rFont val="Tahoma"/>
            <family val="2"/>
          </rPr>
          <t>The pounds of TSS calculated in C41 is the required TSS load removal from this basin (C35).  If this is not the same as C27, removing this amount will not meet the require load removal for the entire site. Additional Permanent BMPs are required.</t>
        </r>
        <r>
          <rPr>
            <sz val="8"/>
            <rFont val="Tahoma"/>
            <family val="0"/>
          </rPr>
          <t xml:space="preserve">
</t>
        </r>
      </text>
    </comment>
    <comment ref="C76" authorId="0">
      <text>
        <r>
          <rPr>
            <b/>
            <sz val="8"/>
            <color indexed="14"/>
            <rFont val="Tahoma"/>
            <family val="2"/>
          </rPr>
          <t>Possible Project Configuration #1: There is only one drainage basin/outfall area and one BMP will receive the runoff from the whole project.  Enter the Load calculated in cell C27 or C41 (L</t>
        </r>
        <r>
          <rPr>
            <b/>
            <vertAlign val="subscript"/>
            <sz val="10"/>
            <color indexed="14"/>
            <rFont val="Tahoma"/>
            <family val="2"/>
          </rPr>
          <t>M REMOVAL REQUIRED FROM THIS BASIN</t>
        </r>
        <r>
          <rPr>
            <b/>
            <sz val="8"/>
            <color indexed="14"/>
            <rFont val="Tahoma"/>
            <family val="2"/>
          </rPr>
          <t>) into cell C78 (L</t>
        </r>
        <r>
          <rPr>
            <b/>
            <vertAlign val="subscript"/>
            <sz val="10"/>
            <color indexed="14"/>
            <rFont val="Tahoma"/>
            <family val="2"/>
          </rPr>
          <t>M TO BE REMOVED BY THIS BASIN</t>
        </r>
        <r>
          <rPr>
            <b/>
            <sz val="8"/>
            <color indexed="14"/>
            <rFont val="Tahoma"/>
            <family val="2"/>
          </rPr>
          <t>) and proceed with the sizing of the BMP.
Possible Project Configuration #2: There is more than one drainage basin/outfall area and a BMP is proposed for each basin.  Enter the Load calculated in cell C41 (L</t>
        </r>
        <r>
          <rPr>
            <b/>
            <vertAlign val="subscript"/>
            <sz val="10"/>
            <color indexed="14"/>
            <rFont val="Tahoma"/>
            <family val="2"/>
          </rPr>
          <t>M REMOVAL REQUIRED FROM THIS BASIN</t>
        </r>
        <r>
          <rPr>
            <b/>
            <sz val="8"/>
            <color indexed="14"/>
            <rFont val="Tahoma"/>
            <family val="2"/>
          </rPr>
          <t>) into cell C78 (L</t>
        </r>
        <r>
          <rPr>
            <b/>
            <vertAlign val="subscript"/>
            <sz val="10"/>
            <color indexed="14"/>
            <rFont val="Tahoma"/>
            <family val="2"/>
          </rPr>
          <t>M TO BE REMOVED BY THIS BASIN</t>
        </r>
        <r>
          <rPr>
            <b/>
            <sz val="8"/>
            <color indexed="14"/>
            <rFont val="Tahoma"/>
            <family val="2"/>
          </rPr>
          <t>) and proceed with the sizing of the BMP for each basin.
Possible Project Configuration #3: There is more than one drainage basin/outfall area and a BMP is not proposed for each basin.  Enter the Load calculated in cell C27 (L</t>
        </r>
        <r>
          <rPr>
            <b/>
            <vertAlign val="subscript"/>
            <sz val="10"/>
            <color indexed="14"/>
            <rFont val="Tahoma"/>
            <family val="2"/>
          </rPr>
          <t>M REMOVAL REQUIRED FROM TOTAL SITE</t>
        </r>
        <r>
          <rPr>
            <b/>
            <sz val="8"/>
            <color indexed="14"/>
            <rFont val="Tahoma"/>
            <family val="2"/>
          </rPr>
          <t>) or some desired load into cell C78 (L</t>
        </r>
        <r>
          <rPr>
            <b/>
            <vertAlign val="subscript"/>
            <sz val="10"/>
            <color indexed="14"/>
            <rFont val="Tahoma"/>
            <family val="2"/>
          </rPr>
          <t>M TO BE REMOVED BY THIS BASIN</t>
        </r>
        <r>
          <rPr>
            <b/>
            <sz val="8"/>
            <color indexed="14"/>
            <rFont val="Tahoma"/>
            <family val="2"/>
          </rPr>
          <t>) and proceed with the sizing of the BMP for the basin.</t>
        </r>
        <r>
          <rPr>
            <sz val="8"/>
            <rFont val="Tahoma"/>
            <family val="0"/>
          </rPr>
          <t xml:space="preserve">
</t>
        </r>
      </text>
    </comment>
    <comment ref="C91" authorId="0">
      <text>
        <r>
          <rPr>
            <b/>
            <sz val="8"/>
            <color indexed="14"/>
            <rFont val="Tahoma"/>
            <family val="2"/>
          </rPr>
          <t>When possible, the off-site drainage should be conveyed around or through the drainage basin/outfall area without entering the BMP. 
If no off-site drainage flows across the drainage basin/outfall area or is bypassed through the site, enter 0 in cells C92 &amp; C93.
If the off-site drainage is directed to the drainage basin, and the off-site area is not developed, enter the off-site area draining to the BMP into cell C92 and enter the off-site impervious cover into cell C93 under the assumption that the off-site impervious cover will be the same as the tract submitting the application.
If the off-site drainage is directed to the drainage basin, and the off-site area is developed, enter the off-site area draining to BMP &amp; off-site impervious cover draining to BMP in cells C92 &amp; C93</t>
        </r>
        <r>
          <rPr>
            <b/>
            <sz val="8"/>
            <rFont val="Tahoma"/>
            <family val="0"/>
          </rPr>
          <t>.</t>
        </r>
        <r>
          <rPr>
            <sz val="8"/>
            <rFont val="Tahoma"/>
            <family val="0"/>
          </rPr>
          <t xml:space="preserve">
</t>
        </r>
      </text>
    </comment>
    <comment ref="C95" authorId="0">
      <text>
        <r>
          <rPr>
            <b/>
            <sz val="8"/>
            <color indexed="14"/>
            <rFont val="Tahoma"/>
            <family val="2"/>
          </rPr>
          <t>The impervious cover value used in the calculations for the Runoff Coefficient = IC in Off-site Drainage Area to the BMP / Off-site Drainage Area to the BMP.</t>
        </r>
      </text>
    </comment>
    <comment ref="B214" authorId="0">
      <text>
        <r>
          <rPr>
            <b/>
            <sz val="8"/>
            <color indexed="14"/>
            <rFont val="Tahoma"/>
            <family val="2"/>
          </rPr>
          <t>This method uses Excel to calculate the swale bottom width (b) for a Trapezoidal Channel.  Excel performs numerous iterations to derive the value for b by solving Manning's Equation and the Rational Method Equation simultaneously.  The design parameters entered in Section 15 are used for these calculations.</t>
        </r>
        <r>
          <rPr>
            <sz val="8"/>
            <rFont val="Tahoma"/>
            <family val="0"/>
          </rPr>
          <t xml:space="preserve">
</t>
        </r>
      </text>
    </comment>
    <comment ref="C183" authorId="0">
      <text>
        <r>
          <rPr>
            <b/>
            <sz val="8"/>
            <color indexed="14"/>
            <rFont val="Tahoma"/>
            <family val="2"/>
          </rPr>
          <t>The value for C in cell C183 is calculated from the values entered for the drainage area to the swale.  C = (Impervious Cover within Drainage Basin/Drainage Basin Area)*0.74 + (Pervious Cover within Drainage Basin/Drainage Basin Area)*0.33</t>
        </r>
      </text>
    </comment>
    <comment ref="B165" authorId="0">
      <text>
        <r>
          <rPr>
            <b/>
            <sz val="8"/>
            <color indexed="14"/>
            <rFont val="Tahoma"/>
            <family val="2"/>
          </rPr>
          <t>Sizing calculations will be provided by CONTECH Stormwater Solutions Inc.  Please call Contech's Texas design team toll-free at (877) 907-8676.</t>
        </r>
      </text>
    </comment>
    <comment ref="C180" authorId="0">
      <text>
        <r>
          <rPr>
            <b/>
            <sz val="8"/>
            <color indexed="14"/>
            <rFont val="Tahoma"/>
            <family val="2"/>
          </rPr>
          <t>The channel slope must be between 0.005 and 0.025</t>
        </r>
      </text>
    </comment>
    <comment ref="C181" authorId="0">
      <text>
        <r>
          <rPr>
            <b/>
            <sz val="8"/>
            <color indexed="14"/>
            <rFont val="Tahoma"/>
            <family val="2"/>
          </rPr>
          <t>z = the side slope of the swale in the form of z(H):1(V)</t>
        </r>
        <r>
          <rPr>
            <sz val="8"/>
            <rFont val="Tahoma"/>
            <family val="0"/>
          </rPr>
          <t xml:space="preserve">
</t>
        </r>
      </text>
    </comment>
    <comment ref="C198" authorId="0">
      <text>
        <r>
          <rPr>
            <b/>
            <sz val="8"/>
            <color indexed="14"/>
            <rFont val="Tahoma"/>
            <family val="2"/>
          </rPr>
          <t>Maximum bottom width = 10 feet   
If resulting calculations result in a value for b that is greater than 10 feet, change design parameters and recalculate.  If b is a negative value, set b = 2</t>
        </r>
      </text>
    </comment>
    <comment ref="C205" authorId="0">
      <text>
        <r>
          <rPr>
            <b/>
            <sz val="8"/>
            <color indexed="14"/>
            <rFont val="Tahoma"/>
            <family val="2"/>
          </rPr>
          <t>If V is less than or equal to 1 ft/sec, the swale will function correctly.
If V is greater than 1 ft/sec, the swale will not function correctly and the design assumptions must be revised.</t>
        </r>
        <r>
          <rPr>
            <sz val="8"/>
            <rFont val="Tahoma"/>
            <family val="0"/>
          </rPr>
          <t xml:space="preserve">
</t>
        </r>
      </text>
    </comment>
    <comment ref="B174" authorId="0">
      <text>
        <r>
          <rPr>
            <b/>
            <sz val="8"/>
            <color indexed="14"/>
            <rFont val="Tahoma"/>
            <family val="2"/>
          </rPr>
          <t>Insert the design parameters for the drainage area and swale below.</t>
        </r>
      </text>
    </comment>
    <comment ref="B191" authorId="0">
      <text>
        <r>
          <rPr>
            <b/>
            <sz val="8"/>
            <color indexed="14"/>
            <rFont val="Tahoma"/>
            <family val="2"/>
          </rPr>
          <t>Trapezoidal is the most common shape used for swale design.  However, rectangular and triangular shapes may be used.   The calculations included below assume that a trapezoidal shape is selected.</t>
        </r>
      </text>
    </comment>
    <comment ref="B194" authorId="0">
      <text>
        <r>
          <rPr>
            <b/>
            <sz val="8"/>
            <color indexed="14"/>
            <rFont val="Tahoma"/>
            <family val="2"/>
          </rPr>
          <t>Use Manning's Equation to estimate the swale bottom width (b).</t>
        </r>
      </text>
    </comment>
    <comment ref="B197" authorId="0">
      <text>
        <r>
          <rPr>
            <b/>
            <sz val="8"/>
            <color indexed="14"/>
            <rFont val="Tahoma"/>
            <family val="2"/>
          </rPr>
          <t>Manning's Equation cannot be used directly to solve for the bottom width of a trapezoidal swale.  For shallow flows (4 inches or less) the equation can be altered to:</t>
        </r>
        <r>
          <rPr>
            <sz val="8"/>
            <rFont val="Tahoma"/>
            <family val="0"/>
          </rPr>
          <t xml:space="preserve">
</t>
        </r>
      </text>
    </comment>
    <comment ref="B225" authorId="0">
      <text>
        <r>
          <rPr>
            <b/>
            <sz val="8"/>
            <color indexed="14"/>
            <rFont val="Tahoma"/>
            <family val="2"/>
          </rPr>
          <t>The following are the resulting values for "flow Velocity" and "Minimum Swale Length".</t>
        </r>
        <r>
          <rPr>
            <b/>
            <sz val="8"/>
            <rFont val="Tahoma"/>
            <family val="0"/>
          </rPr>
          <t xml:space="preserve">
</t>
        </r>
      </text>
    </comment>
    <comment ref="B229" authorId="0">
      <text>
        <r>
          <rPr>
            <b/>
            <sz val="8"/>
            <color indexed="14"/>
            <rFont val="Tahoma"/>
            <family val="2"/>
          </rPr>
          <t>To widen the bottom width calculated above, enter the desired width below.  Excel will calculate the resulting values for "Design Depth" of flow, "Flow Velocity", and "Minimum Length" of swale.</t>
        </r>
        <r>
          <rPr>
            <sz val="8"/>
            <rFont val="Tahoma"/>
            <family val="0"/>
          </rPr>
          <t xml:space="preserve">
</t>
        </r>
      </text>
    </comment>
    <comment ref="C124" authorId="1">
      <text>
        <r>
          <rPr>
            <b/>
            <sz val="8"/>
            <color indexed="14"/>
            <rFont val="Tahoma"/>
            <family val="2"/>
          </rPr>
          <t>Sized using required 
Water Quality Volume without the additional 20% for sediment.</t>
        </r>
      </text>
    </comment>
    <comment ref="C134" authorId="1">
      <text>
        <r>
          <rPr>
            <b/>
            <sz val="8"/>
            <color indexed="14"/>
            <rFont val="Tahoma"/>
            <family val="2"/>
          </rPr>
          <t>Sized using required 
Water Quality Volume without the additional 20% for sediment.</t>
        </r>
        <r>
          <rPr>
            <sz val="8"/>
            <rFont val="Tahoma"/>
            <family val="0"/>
          </rPr>
          <t xml:space="preserve">
</t>
        </r>
      </text>
    </comment>
    <comment ref="C309" authorId="2">
      <text>
        <r>
          <rPr>
            <b/>
            <sz val="8"/>
            <color indexed="14"/>
            <rFont val="Tahoma"/>
            <family val="2"/>
          </rPr>
          <t>Lm value (cell C41)</t>
        </r>
      </text>
    </comment>
    <comment ref="C332" authorId="2">
      <text>
        <r>
          <rPr>
            <b/>
            <sz val="8"/>
            <color indexed="14"/>
            <rFont val="Tahoma"/>
            <family val="2"/>
          </rPr>
          <t>Lm value (cell C41)</t>
        </r>
      </text>
    </comment>
    <comment ref="C326" authorId="2">
      <text>
        <r>
          <rPr>
            <b/>
            <sz val="8"/>
            <color indexed="14"/>
            <rFont val="Tahoma"/>
            <family val="2"/>
          </rPr>
          <t>If Yes, the model size can compensate for the uncaptured area.  If No, you must choose a larger model size or redifine your drainage areas.</t>
        </r>
      </text>
    </comment>
    <comment ref="C316" authorId="2">
      <text>
        <r>
          <rPr>
            <b/>
            <sz val="8"/>
            <rFont val="Tahoma"/>
            <family val="2"/>
          </rPr>
          <t xml:space="preserve">Select this cell and then click on the grey box to the right of the cell to make selection from the drop down menu.
</t>
        </r>
        <r>
          <rPr>
            <b/>
            <u val="single"/>
            <sz val="8"/>
            <rFont val="Tahoma"/>
            <family val="2"/>
          </rPr>
          <t xml:space="preserve">
Stormceptor Model | Surface Area (ft</t>
        </r>
        <r>
          <rPr>
            <b/>
            <u val="single"/>
            <vertAlign val="superscript"/>
            <sz val="8"/>
            <rFont val="Tahoma"/>
            <family val="2"/>
          </rPr>
          <t>2</t>
        </r>
        <r>
          <rPr>
            <b/>
            <u val="single"/>
            <sz val="8"/>
            <rFont val="Tahoma"/>
            <family val="2"/>
          </rPr>
          <t xml:space="preserve">)
             450i                |           12.57            
   900, 1200, 1800    |           28.27            
       2400, 3600         |           50.27            
       4800, 6000         |           78.54            
             7200              |         113.10            
     11000, 13000      |         157.08            
            16000             |         226.19            </t>
        </r>
      </text>
    </comment>
    <comment ref="C349" authorId="2">
      <text>
        <r>
          <rPr>
            <b/>
            <sz val="8"/>
            <color indexed="14"/>
            <rFont val="Tahoma"/>
            <family val="2"/>
          </rPr>
          <t>If Yes, the model size can compensate for the uncaptured area.  If No, you must choose a larger model size or redifine your drainage areas.</t>
        </r>
      </text>
    </comment>
    <comment ref="C339" authorId="2">
      <text>
        <r>
          <rPr>
            <b/>
            <sz val="8"/>
            <rFont val="Tahoma"/>
            <family val="2"/>
          </rPr>
          <t xml:space="preserve">Select this cell and then click on the grey box to the right of the cell to make selection from the drop down menu.
</t>
        </r>
        <r>
          <rPr>
            <b/>
            <u val="single"/>
            <sz val="8"/>
            <rFont val="Tahoma"/>
            <family val="2"/>
          </rPr>
          <t xml:space="preserve">
Vortechs Model | Surface Area (ft2)
        Vx1000        |            7.10             
        Vx2000        |          12.57             
        Vx3000        |          19.63             
        Vx4000        |          28.27             
        Vx5000        |          38.48             
        Vx7000        |          50.27             
        Vx9000        |          63.62             
       Vx11000       |          78.54             
       Vx16000       |        113.10             
        Vx1319        |        132.70             
        Vx1421        |        153.90             </t>
        </r>
      </text>
    </comment>
  </commentList>
</comments>
</file>

<file path=xl/sharedStrings.xml><?xml version="1.0" encoding="utf-8"?>
<sst xmlns="http://schemas.openxmlformats.org/spreadsheetml/2006/main" count="487" uniqueCount="320">
  <si>
    <t>Texas Commission on Environmental Quality</t>
  </si>
  <si>
    <t>Project Name:</t>
  </si>
  <si>
    <t>Date Prepared:</t>
  </si>
  <si>
    <t>?</t>
  </si>
  <si>
    <t>Text shown in blue indicate location of instructions in the Technical Guidance Manual - RG-348.</t>
  </si>
  <si>
    <t>Characters shown in red are data entry fields.</t>
  </si>
  <si>
    <t>Calculations from RG-348</t>
  </si>
  <si>
    <t>Pages 3-27 to 3-30</t>
  </si>
  <si>
    <r>
      <t>Page 3-29 Equation 3.3:  L</t>
    </r>
    <r>
      <rPr>
        <vertAlign val="subscript"/>
        <sz val="10"/>
        <rFont val="Arial"/>
        <family val="2"/>
      </rPr>
      <t>M</t>
    </r>
    <r>
      <rPr>
        <sz val="10"/>
        <rFont val="Arial"/>
        <family val="0"/>
      </rPr>
      <t xml:space="preserve"> =</t>
    </r>
  </si>
  <si>
    <r>
      <t>27.2(A</t>
    </r>
    <r>
      <rPr>
        <vertAlign val="subscript"/>
        <sz val="10"/>
        <rFont val="Arial"/>
        <family val="2"/>
      </rPr>
      <t>N</t>
    </r>
    <r>
      <rPr>
        <sz val="8"/>
        <rFont val="Arial"/>
        <family val="2"/>
      </rPr>
      <t xml:space="preserve"> </t>
    </r>
    <r>
      <rPr>
        <sz val="10"/>
        <rFont val="Arial"/>
        <family val="2"/>
      </rPr>
      <t>x P</t>
    </r>
    <r>
      <rPr>
        <sz val="8"/>
        <rFont val="Arial"/>
        <family val="2"/>
      </rPr>
      <t>)</t>
    </r>
  </si>
  <si>
    <t>where:</t>
  </si>
  <si>
    <r>
      <t>L</t>
    </r>
    <r>
      <rPr>
        <vertAlign val="subscript"/>
        <sz val="10"/>
        <rFont val="Arial"/>
        <family val="2"/>
      </rPr>
      <t>M TOTAL PROJECT</t>
    </r>
    <r>
      <rPr>
        <sz val="10"/>
        <rFont val="Arial"/>
        <family val="0"/>
      </rPr>
      <t xml:space="preserve"> =</t>
    </r>
  </si>
  <si>
    <t>Required TSS removal resulting from the proposed development = 80% of increased load</t>
  </si>
  <si>
    <r>
      <t>A</t>
    </r>
    <r>
      <rPr>
        <vertAlign val="subscript"/>
        <sz val="10"/>
        <rFont val="Arial"/>
        <family val="2"/>
      </rPr>
      <t>N</t>
    </r>
    <r>
      <rPr>
        <sz val="10"/>
        <rFont val="Arial"/>
        <family val="0"/>
      </rPr>
      <t xml:space="preserve"> =</t>
    </r>
  </si>
  <si>
    <t>Net increase in impervious area for the project</t>
  </si>
  <si>
    <t>P =</t>
  </si>
  <si>
    <t xml:space="preserve">Average annual precipitation, inches </t>
  </si>
  <si>
    <t>Site Data:</t>
  </si>
  <si>
    <t>Determine Required Load Removal Based on the Entire Project</t>
  </si>
  <si>
    <t>County =</t>
  </si>
  <si>
    <r>
      <t xml:space="preserve">Total project area included in plan  </t>
    </r>
    <r>
      <rPr>
        <sz val="10"/>
        <color indexed="14"/>
        <rFont val="Arial"/>
        <family val="2"/>
      </rPr>
      <t>*</t>
    </r>
    <r>
      <rPr>
        <sz val="10"/>
        <rFont val="Arial"/>
        <family val="0"/>
      </rPr>
      <t xml:space="preserve"> =</t>
    </r>
  </si>
  <si>
    <t>acres</t>
  </si>
  <si>
    <r>
      <t xml:space="preserve">Predevelopment impervious area within the limits of the plan </t>
    </r>
    <r>
      <rPr>
        <sz val="10"/>
        <color indexed="14"/>
        <rFont val="Arial"/>
        <family val="2"/>
      </rPr>
      <t>*</t>
    </r>
    <r>
      <rPr>
        <sz val="10"/>
        <rFont val="Arial"/>
        <family val="0"/>
      </rPr>
      <t xml:space="preserve"> =</t>
    </r>
  </si>
  <si>
    <r>
      <t>Total post-development impervious area within the limits of the plan</t>
    </r>
    <r>
      <rPr>
        <sz val="10"/>
        <color indexed="14"/>
        <rFont val="Arial"/>
        <family val="2"/>
      </rPr>
      <t>*</t>
    </r>
    <r>
      <rPr>
        <sz val="10"/>
        <rFont val="Arial"/>
        <family val="0"/>
      </rPr>
      <t xml:space="preserve"> =</t>
    </r>
  </si>
  <si>
    <r>
      <t xml:space="preserve">Total post-development impervious cover fraction </t>
    </r>
    <r>
      <rPr>
        <sz val="10"/>
        <color indexed="14"/>
        <rFont val="Arial"/>
        <family val="2"/>
      </rPr>
      <t>*</t>
    </r>
    <r>
      <rPr>
        <sz val="10"/>
        <rFont val="Arial"/>
        <family val="0"/>
      </rPr>
      <t xml:space="preserve"> =</t>
    </r>
  </si>
  <si>
    <t>inches</t>
  </si>
  <si>
    <t>lbs.</t>
  </si>
  <si>
    <t>*  The values entered in these fields should be for the total project area.</t>
  </si>
  <si>
    <t>Number of drainage basins / outfalls areas leaving the plan area =</t>
  </si>
  <si>
    <t>Drainage Basin/Outfall Area No. =</t>
  </si>
  <si>
    <r>
      <t xml:space="preserve">Total drainage basin/outfall area </t>
    </r>
    <r>
      <rPr>
        <sz val="10"/>
        <rFont val="Arial"/>
        <family val="0"/>
      </rPr>
      <t>=</t>
    </r>
  </si>
  <si>
    <r>
      <t>Predevelopment impervious area within drainage basin/outfall area</t>
    </r>
    <r>
      <rPr>
        <sz val="10"/>
        <rFont val="Arial"/>
        <family val="0"/>
      </rPr>
      <t xml:space="preserve"> =</t>
    </r>
  </si>
  <si>
    <r>
      <t>Post-development impervious area within drainage basin/outfall area</t>
    </r>
    <r>
      <rPr>
        <sz val="10"/>
        <rFont val="Arial"/>
        <family val="0"/>
      </rPr>
      <t xml:space="preserve"> =</t>
    </r>
  </si>
  <si>
    <r>
      <t>Post-development impervious fraction within drainage basin/outfall area</t>
    </r>
    <r>
      <rPr>
        <sz val="10"/>
        <rFont val="Arial"/>
        <family val="0"/>
      </rPr>
      <t xml:space="preserve"> =</t>
    </r>
  </si>
  <si>
    <r>
      <t>L</t>
    </r>
    <r>
      <rPr>
        <vertAlign val="subscript"/>
        <sz val="10"/>
        <rFont val="Arial"/>
        <family val="2"/>
      </rPr>
      <t>M THIS BASIN</t>
    </r>
    <r>
      <rPr>
        <sz val="10"/>
        <rFont val="Arial"/>
        <family val="0"/>
      </rPr>
      <t xml:space="preserve"> =</t>
    </r>
  </si>
  <si>
    <t>Proposed BMP =</t>
  </si>
  <si>
    <t>sf</t>
  </si>
  <si>
    <t>Removal efficiency =</t>
  </si>
  <si>
    <t>percent</t>
  </si>
  <si>
    <t>Bioretention</t>
  </si>
  <si>
    <t>Contech StormFilter</t>
  </si>
  <si>
    <t>Constructed Wetland</t>
  </si>
  <si>
    <t>Extended Detention</t>
  </si>
  <si>
    <t>Grassy Swale</t>
  </si>
  <si>
    <t>Retention / Irrigation</t>
  </si>
  <si>
    <t>Sand Filter</t>
  </si>
  <si>
    <t>Wet Basin</t>
  </si>
  <si>
    <t>Wet Vault</t>
  </si>
  <si>
    <r>
      <t>RG-348 Page 3-33 Equation 3.7:</t>
    </r>
    <r>
      <rPr>
        <sz val="10"/>
        <rFont val="Arial"/>
        <family val="2"/>
      </rPr>
      <t xml:space="preserve">  L</t>
    </r>
    <r>
      <rPr>
        <vertAlign val="subscript"/>
        <sz val="10"/>
        <rFont val="Arial"/>
        <family val="2"/>
      </rPr>
      <t>R</t>
    </r>
    <r>
      <rPr>
        <sz val="10"/>
        <rFont val="Arial"/>
        <family val="2"/>
      </rPr>
      <t xml:space="preserve"> =</t>
    </r>
  </si>
  <si>
    <r>
      <t>(BMP efficiency) x P x (A</t>
    </r>
    <r>
      <rPr>
        <vertAlign val="subscript"/>
        <sz val="10"/>
        <rFont val="Arial"/>
        <family val="2"/>
      </rPr>
      <t>I</t>
    </r>
    <r>
      <rPr>
        <sz val="10"/>
        <rFont val="Arial"/>
        <family val="2"/>
      </rPr>
      <t xml:space="preserve"> x 34.6 + A</t>
    </r>
    <r>
      <rPr>
        <vertAlign val="subscript"/>
        <sz val="10"/>
        <rFont val="Arial"/>
        <family val="2"/>
      </rPr>
      <t>P</t>
    </r>
    <r>
      <rPr>
        <sz val="10"/>
        <rFont val="Arial"/>
        <family val="2"/>
      </rPr>
      <t xml:space="preserve"> x 0.54)</t>
    </r>
  </si>
  <si>
    <r>
      <t>A</t>
    </r>
    <r>
      <rPr>
        <vertAlign val="subscript"/>
        <sz val="10"/>
        <rFont val="Arial"/>
        <family val="2"/>
      </rPr>
      <t>C</t>
    </r>
    <r>
      <rPr>
        <sz val="10"/>
        <rFont val="Arial"/>
        <family val="0"/>
      </rPr>
      <t xml:space="preserve"> =</t>
    </r>
  </si>
  <si>
    <t>Total On-Site drainage area in the BMP catchment area</t>
  </si>
  <si>
    <r>
      <t>A</t>
    </r>
    <r>
      <rPr>
        <vertAlign val="subscript"/>
        <sz val="10"/>
        <rFont val="Arial"/>
        <family val="2"/>
      </rPr>
      <t>I</t>
    </r>
    <r>
      <rPr>
        <sz val="10"/>
        <rFont val="Arial"/>
        <family val="2"/>
      </rPr>
      <t xml:space="preserve"> =</t>
    </r>
  </si>
  <si>
    <t>Impervious area proposed in the BMP catchment area</t>
  </si>
  <si>
    <r>
      <t>A</t>
    </r>
    <r>
      <rPr>
        <vertAlign val="subscript"/>
        <sz val="10"/>
        <rFont val="Arial"/>
        <family val="2"/>
      </rPr>
      <t>P</t>
    </r>
    <r>
      <rPr>
        <sz val="10"/>
        <rFont val="Arial"/>
        <family val="2"/>
      </rPr>
      <t xml:space="preserve"> =</t>
    </r>
  </si>
  <si>
    <t>Pervious area remaining in the BMP catchment area</t>
  </si>
  <si>
    <r>
      <t>L</t>
    </r>
    <r>
      <rPr>
        <vertAlign val="subscript"/>
        <sz val="10"/>
        <rFont val="Arial"/>
        <family val="2"/>
      </rPr>
      <t>R</t>
    </r>
    <r>
      <rPr>
        <sz val="10"/>
        <rFont val="Arial"/>
        <family val="2"/>
      </rPr>
      <t xml:space="preserve"> =</t>
    </r>
  </si>
  <si>
    <t>TSS Load removed from this catchment area by the proposed BMP</t>
  </si>
  <si>
    <t>lbs</t>
  </si>
  <si>
    <t>5. Calculate Fraction of Annual Runoff to Treat the drainage basin / outfall area</t>
  </si>
  <si>
    <t>F =</t>
  </si>
  <si>
    <t>6. Calculate Capture Volume required by the BMP Type for this drainage basin / outfall area.</t>
  </si>
  <si>
    <t>Pages 3-34 to 3-36</t>
  </si>
  <si>
    <t>Rainfall Depth =</t>
  </si>
  <si>
    <t xml:space="preserve">Post Development Runoff Coefficient = </t>
  </si>
  <si>
    <t>On-site Water Quality Volume =</t>
  </si>
  <si>
    <t>cubic feet</t>
  </si>
  <si>
    <t>Pages 3-36 to 3-37</t>
  </si>
  <si>
    <t>Off-site area draining to BMP =</t>
  </si>
  <si>
    <t>Off-site Impervious cover draining to BMP =</t>
  </si>
  <si>
    <t>Impervious fraction of off-site area =</t>
  </si>
  <si>
    <t>Off-site Runoff Coefficient =</t>
  </si>
  <si>
    <t>Off-site Water Quality Volume =</t>
  </si>
  <si>
    <t>Storage for Sediment =</t>
  </si>
  <si>
    <t>Total Capture Volume (required water quality volume(s) x 1.20) =</t>
  </si>
  <si>
    <t>The following sections are used to calculate the required water quality volume(s) for the selected BMP.</t>
  </si>
  <si>
    <t>7. Retention/Irrigation System</t>
  </si>
  <si>
    <t>Designed as Required in RG-348</t>
  </si>
  <si>
    <t>Pages 3-42 to 3-46</t>
  </si>
  <si>
    <t>Required Water Quality Volume for retention basin =</t>
  </si>
  <si>
    <t>Irrigation Area Calculations:</t>
  </si>
  <si>
    <t>Soil infiltration/permeability rate =</t>
  </si>
  <si>
    <t>in/hr</t>
  </si>
  <si>
    <t>Enter determined permeability rate or assumed value of 0.1</t>
  </si>
  <si>
    <t>Irrigation area =</t>
  </si>
  <si>
    <t>square feet</t>
  </si>
  <si>
    <t>8. Extended Detention Basin System</t>
  </si>
  <si>
    <t>Pages 3-46 to 3-51</t>
  </si>
  <si>
    <t>Required Water Quality Volume for extended detention basin =</t>
  </si>
  <si>
    <t>9. Filter area for Sand Filters</t>
  </si>
  <si>
    <t>Pages 3-58 to 3-63</t>
  </si>
  <si>
    <t>9A. Full Sedimentation and Filtration System</t>
  </si>
  <si>
    <t>Water Quality Volume for sedimentation basin =</t>
  </si>
  <si>
    <t>Minimum filter basin area =</t>
  </si>
  <si>
    <t>Maximum sedimentation basin area =</t>
  </si>
  <si>
    <t>For minimum water depth of 2 feet</t>
  </si>
  <si>
    <t>Minimum sedimentation basin area =</t>
  </si>
  <si>
    <t>For maximum water depth of 8 feet</t>
  </si>
  <si>
    <t>9B. Partial Sedimentation and Filtration System</t>
  </si>
  <si>
    <t>Water Quality Volume for combined basins =</t>
  </si>
  <si>
    <t>10. Bioretention System</t>
  </si>
  <si>
    <t>Pages 3-63 to 3-65</t>
  </si>
  <si>
    <t>Required Water Quality Volume for Bioretention Basin =</t>
  </si>
  <si>
    <t>11. Wet Basins</t>
  </si>
  <si>
    <t>Pages 3-66 to 3-71</t>
  </si>
  <si>
    <t xml:space="preserve">Required capacity of Permanent Pool = </t>
  </si>
  <si>
    <t>Permanent Pool Capacity is 1.20 times the WQV</t>
  </si>
  <si>
    <t xml:space="preserve">Required capacity at WQV Elevation = </t>
  </si>
  <si>
    <t>Total Capacity should be the Permanent Pool Capacity</t>
  </si>
  <si>
    <t>12. Constructed Wetlands</t>
  </si>
  <si>
    <t>Pages 3-71 to 3-73</t>
  </si>
  <si>
    <t>Required Water Quality Volume for Constructed Wetlands =</t>
  </si>
  <si>
    <r>
      <t>13. AquaLogic</t>
    </r>
    <r>
      <rPr>
        <b/>
        <u val="single"/>
        <vertAlign val="superscript"/>
        <sz val="10"/>
        <rFont val="Arial"/>
        <family val="2"/>
      </rPr>
      <t>TM</t>
    </r>
    <r>
      <rPr>
        <b/>
        <u val="single"/>
        <sz val="10"/>
        <rFont val="Arial"/>
        <family val="2"/>
      </rPr>
      <t xml:space="preserve"> Cartridge System</t>
    </r>
  </si>
  <si>
    <t>Pages 3-74 to 3-78</t>
  </si>
  <si>
    <t>Required Sedimentation chamber capacity =</t>
  </si>
  <si>
    <r>
      <t>Filter basin area (RIA</t>
    </r>
    <r>
      <rPr>
        <vertAlign val="subscript"/>
        <sz val="10"/>
        <rFont val="Arial"/>
        <family val="2"/>
      </rPr>
      <t>F</t>
    </r>
    <r>
      <rPr>
        <sz val="10"/>
        <rFont val="Arial"/>
        <family val="0"/>
      </rPr>
      <t>) =</t>
    </r>
  </si>
  <si>
    <t>Filter canisters (FCs) to treat WQV =</t>
  </si>
  <si>
    <t>cartridges</t>
  </si>
  <si>
    <t>14. Stormwater Management StormFilter® by CONTECH</t>
  </si>
  <si>
    <t>Required Water Quality Volume for Contech StormFilter System =</t>
  </si>
  <si>
    <t>15. Grassy Swales</t>
  </si>
  <si>
    <t>Pages 3-51 to 3-54</t>
  </si>
  <si>
    <t>Design parameters for the swale:</t>
  </si>
  <si>
    <t>Drainage Area to be Treated by the Swale = A =</t>
  </si>
  <si>
    <t>Impervious Cover in Drainage Area =</t>
  </si>
  <si>
    <t>Rainfall intensity = i =</t>
  </si>
  <si>
    <t>Swale Slope =</t>
  </si>
  <si>
    <t>ft/ft</t>
  </si>
  <si>
    <t>Side Slope (z) =</t>
  </si>
  <si>
    <t>Design Water Depth = y =</t>
  </si>
  <si>
    <t>ft</t>
  </si>
  <si>
    <t>Weighted Runoff Coefficient = C =</t>
  </si>
  <si>
    <r>
      <t>A</t>
    </r>
    <r>
      <rPr>
        <vertAlign val="subscript"/>
        <sz val="10"/>
        <rFont val="Arial"/>
        <family val="2"/>
      </rPr>
      <t>CS</t>
    </r>
    <r>
      <rPr>
        <sz val="10"/>
        <rFont val="Arial"/>
        <family val="0"/>
      </rPr>
      <t xml:space="preserve"> = cross-sectional area of flow in Swale =</t>
    </r>
  </si>
  <si>
    <r>
      <t>P</t>
    </r>
    <r>
      <rPr>
        <vertAlign val="subscript"/>
        <sz val="10"/>
        <rFont val="Arial"/>
        <family val="2"/>
      </rPr>
      <t>W</t>
    </r>
    <r>
      <rPr>
        <sz val="10"/>
        <rFont val="Arial"/>
        <family val="0"/>
      </rPr>
      <t xml:space="preserve"> = Wetted Perimeter =</t>
    </r>
  </si>
  <si>
    <t>feet</t>
  </si>
  <si>
    <r>
      <t>R</t>
    </r>
    <r>
      <rPr>
        <vertAlign val="subscript"/>
        <sz val="10"/>
        <rFont val="Arial"/>
        <family val="2"/>
      </rPr>
      <t>H</t>
    </r>
    <r>
      <rPr>
        <sz val="10"/>
        <rFont val="Arial"/>
        <family val="0"/>
      </rPr>
      <t xml:space="preserve"> = hydraulic radius of flow cross-section = A</t>
    </r>
    <r>
      <rPr>
        <vertAlign val="subscript"/>
        <sz val="10"/>
        <rFont val="Arial"/>
        <family val="2"/>
      </rPr>
      <t>CS</t>
    </r>
    <r>
      <rPr>
        <sz val="10"/>
        <rFont val="Arial"/>
        <family val="0"/>
      </rPr>
      <t>/P</t>
    </r>
    <r>
      <rPr>
        <vertAlign val="subscript"/>
        <sz val="10"/>
        <rFont val="Arial"/>
        <family val="2"/>
      </rPr>
      <t>W</t>
    </r>
    <r>
      <rPr>
        <sz val="10"/>
        <rFont val="Arial"/>
        <family val="0"/>
      </rPr>
      <t xml:space="preserve"> =</t>
    </r>
  </si>
  <si>
    <t xml:space="preserve">feet </t>
  </si>
  <si>
    <t>n = Manning's roughness coefficient =</t>
  </si>
  <si>
    <t>15A. Using the Method Described in the RG-348</t>
  </si>
  <si>
    <r>
      <t xml:space="preserve">Manning's Equation:     Q = </t>
    </r>
    <r>
      <rPr>
        <u val="single"/>
        <sz val="10"/>
        <rFont val="Arial"/>
        <family val="2"/>
      </rPr>
      <t>1.49</t>
    </r>
    <r>
      <rPr>
        <sz val="10"/>
        <rFont val="Arial"/>
        <family val="2"/>
      </rPr>
      <t xml:space="preserve"> A</t>
    </r>
    <r>
      <rPr>
        <vertAlign val="subscript"/>
        <sz val="10"/>
        <rFont val="Arial"/>
        <family val="2"/>
      </rPr>
      <t>CS</t>
    </r>
    <r>
      <rPr>
        <sz val="10"/>
        <rFont val="Arial"/>
        <family val="2"/>
      </rPr>
      <t xml:space="preserve"> R</t>
    </r>
    <r>
      <rPr>
        <vertAlign val="subscript"/>
        <sz val="10"/>
        <rFont val="Arial"/>
        <family val="2"/>
      </rPr>
      <t>H</t>
    </r>
    <r>
      <rPr>
        <vertAlign val="superscript"/>
        <sz val="10"/>
        <rFont val="Arial"/>
        <family val="2"/>
      </rPr>
      <t>2/3</t>
    </r>
    <r>
      <rPr>
        <sz val="10"/>
        <rFont val="Arial"/>
        <family val="2"/>
      </rPr>
      <t xml:space="preserve"> S</t>
    </r>
    <r>
      <rPr>
        <vertAlign val="superscript"/>
        <sz val="10"/>
        <rFont val="Arial"/>
        <family val="2"/>
      </rPr>
      <t xml:space="preserve"> 0.5</t>
    </r>
    <r>
      <rPr>
        <sz val="10"/>
        <rFont val="Arial"/>
        <family val="2"/>
      </rPr>
      <t xml:space="preserve">  </t>
    </r>
  </si>
  <si>
    <t xml:space="preserve">                                                               n   </t>
  </si>
  <si>
    <r>
      <t>b =</t>
    </r>
    <r>
      <rPr>
        <sz val="10"/>
        <rFont val="Arial"/>
        <family val="0"/>
      </rPr>
      <t xml:space="preserve"> </t>
    </r>
    <r>
      <rPr>
        <u val="single"/>
        <sz val="10"/>
        <rFont val="Arial"/>
        <family val="2"/>
      </rPr>
      <t xml:space="preserve"> 0.134 x Q </t>
    </r>
    <r>
      <rPr>
        <sz val="10"/>
        <rFont val="Arial"/>
        <family val="0"/>
      </rPr>
      <t xml:space="preserve"> </t>
    </r>
    <r>
      <rPr>
        <vertAlign val="subscript"/>
        <sz val="16"/>
        <rFont val="Arial"/>
        <family val="2"/>
      </rPr>
      <t xml:space="preserve"> - zy  </t>
    </r>
    <r>
      <rPr>
        <sz val="10"/>
        <rFont val="Arial"/>
        <family val="0"/>
      </rPr>
      <t xml:space="preserve"> =</t>
    </r>
  </si>
  <si>
    <r>
      <t xml:space="preserve">                                                              y</t>
    </r>
    <r>
      <rPr>
        <vertAlign val="superscript"/>
        <sz val="10"/>
        <rFont val="Arial"/>
        <family val="2"/>
      </rPr>
      <t>1.67</t>
    </r>
    <r>
      <rPr>
        <sz val="10"/>
        <rFont val="Arial"/>
        <family val="0"/>
      </rPr>
      <t xml:space="preserve"> S</t>
    </r>
    <r>
      <rPr>
        <vertAlign val="superscript"/>
        <sz val="10"/>
        <rFont val="Arial"/>
        <family val="2"/>
      </rPr>
      <t>0.5</t>
    </r>
    <r>
      <rPr>
        <sz val="10"/>
        <rFont val="Arial"/>
        <family val="0"/>
      </rPr>
      <t xml:space="preserve">            </t>
    </r>
  </si>
  <si>
    <t>Q = CiA =</t>
  </si>
  <si>
    <t>cfs</t>
  </si>
  <si>
    <t xml:space="preserve">To calculate the flow velocity in the swale:   </t>
  </si>
  <si>
    <r>
      <t>V (Velocity of Flow in the swale) = Q/A</t>
    </r>
    <r>
      <rPr>
        <vertAlign val="subscript"/>
        <sz val="10"/>
        <rFont val="Arial"/>
        <family val="2"/>
      </rPr>
      <t>CS</t>
    </r>
    <r>
      <rPr>
        <sz val="10"/>
        <rFont val="Arial"/>
        <family val="0"/>
      </rPr>
      <t xml:space="preserve"> =</t>
    </r>
  </si>
  <si>
    <t>ft/sec</t>
  </si>
  <si>
    <t xml:space="preserve">To calculate the resulting swale length:   </t>
  </si>
  <si>
    <t>L = Minimum Swale Length = V (ft/sec) * 300 (sec) =</t>
  </si>
  <si>
    <t xml:space="preserve">If any of the resulting values do not meet the design requirement set forth in RG-348, the design parameters must be modified and the solver rerun. </t>
  </si>
  <si>
    <t>15B.  Alternative Method using Excel Solver</t>
  </si>
  <si>
    <t>To solve for bottom width of the trapezoidal swale (b) using the Excel solver:</t>
  </si>
  <si>
    <t>The required “Swale Width” occurs when the “Design Q” = “Manning's Q”</t>
  </si>
  <si>
    <t>Design Q = CiA =</t>
  </si>
  <si>
    <t>Manning's Equation Q =</t>
  </si>
  <si>
    <t>Error 1 =</t>
  </si>
  <si>
    <t xml:space="preserve">Then click on “Tools” and “Solver”.  The “Solver Parameters” screen pops up. </t>
  </si>
  <si>
    <t>Swale Width=</t>
  </si>
  <si>
    <t xml:space="preserve">ft </t>
  </si>
  <si>
    <t>Click on solve.</t>
  </si>
  <si>
    <t>The resulting “Swale Width” must be less than 10 feet to meet the requirements of the TGM.</t>
  </si>
  <si>
    <t>If the resulting “Swale Width” exceeds 10 feet then the design parameters must be revised and the solver run again.</t>
  </si>
  <si>
    <t>Flow Velocity</t>
  </si>
  <si>
    <t>ft/s</t>
  </si>
  <si>
    <t>If there is not the option for “Solver” under “Tools”</t>
  </si>
  <si>
    <t>Minimum Length =</t>
  </si>
  <si>
    <t>Click on “Tools” and “Add Ins” and then check “Solver Add-in”</t>
  </si>
  <si>
    <t>Then proceed as instructed above.</t>
  </si>
  <si>
    <t>If you would like to increase the bottom width of the trapezoidal swale (b):</t>
  </si>
  <si>
    <t>Design Width =</t>
  </si>
  <si>
    <t>Design Discharge =</t>
  </si>
  <si>
    <t>Error 2 =</t>
  </si>
  <si>
    <t>Design Depth =</t>
  </si>
  <si>
    <t>Flow Velocity =</t>
  </si>
  <si>
    <t>Click on “Tools” and “Solver”.  The “Solver Parameters” screen pops up.</t>
  </si>
  <si>
    <t xml:space="preserve">If any of the resulting values do not meet the design requirement set forth in RG-348, the design parameters may be modified and the solver rerun. </t>
  </si>
  <si>
    <t xml:space="preserve">If any of the resulting values still do not meet the design requirement set forth in RG-348, widening the swale bottom value may not be possible. </t>
  </si>
  <si>
    <t>The resulting “Design Depth” must be equal to or less than 0.33 feet to meet the requirements of the TGM.</t>
  </si>
  <si>
    <t>16. Vegetated Filter Strips</t>
  </si>
  <si>
    <t>Pages 3-55 to 3-57</t>
  </si>
  <si>
    <t>If the resulting “Design Depth” exceeds 0.33 feet then the design parameters must be revised and the solver run again.</t>
  </si>
  <si>
    <t>There are no calculations required for determining the load or size of vegetative filter strips.</t>
  </si>
  <si>
    <t xml:space="preserve">The 80% removal is provided when the contributing drainage area does not exceed 72 feet (direction of flow) and </t>
  </si>
  <si>
    <t>the sheet flow leaving the impervious cover is directed across 15 feet of engineered filter strips with maximum slope of 20% or</t>
  </si>
  <si>
    <t>17. Wet Vaults</t>
  </si>
  <si>
    <t>Pages 3-30 to 3-32 &amp; 3-79</t>
  </si>
  <si>
    <t>Required Load Removal Based upon Equation 3.3 =</t>
  </si>
  <si>
    <t>First calculate the load removal at 1.1 in/hour</t>
  </si>
  <si>
    <t>RG-348 Page 3-30 Equation 3.4:  Q = CiA</t>
  </si>
  <si>
    <t>C = runoff coefficient for the drainage area =</t>
  </si>
  <si>
    <t>i = design rainfall intensity =</t>
  </si>
  <si>
    <t>in/hour</t>
  </si>
  <si>
    <t>A = drainage area in acres =</t>
  </si>
  <si>
    <t>Q = flow rate in cubic feet per second =</t>
  </si>
  <si>
    <r>
      <t>cubic feet</t>
    </r>
    <r>
      <rPr>
        <sz val="10"/>
        <rFont val="Arial"/>
        <family val="0"/>
      </rPr>
      <t>/sec</t>
    </r>
  </si>
  <si>
    <r>
      <t>RG-348 Page 3-31 Equation 3.5:  V</t>
    </r>
    <r>
      <rPr>
        <vertAlign val="subscript"/>
        <sz val="10"/>
        <rFont val="Arial"/>
        <family val="2"/>
      </rPr>
      <t>OR</t>
    </r>
    <r>
      <rPr>
        <sz val="10"/>
        <rFont val="Arial"/>
        <family val="0"/>
      </rPr>
      <t xml:space="preserve"> = Q/A</t>
    </r>
  </si>
  <si>
    <t>Q = Runoff rate calculated above =</t>
  </si>
  <si>
    <t>A = Water surface area in the wet vault =</t>
  </si>
  <si>
    <r>
      <t>V</t>
    </r>
    <r>
      <rPr>
        <vertAlign val="subscript"/>
        <sz val="10"/>
        <rFont val="Arial"/>
        <family val="2"/>
      </rPr>
      <t>OR</t>
    </r>
    <r>
      <rPr>
        <sz val="10"/>
        <rFont val="Arial"/>
        <family val="0"/>
      </rPr>
      <t xml:space="preserve"> = Overflow Rate =</t>
    </r>
  </si>
  <si>
    <t>feet/sec</t>
  </si>
  <si>
    <t>Percent TSS Removal from Figure 3-1 (RG-348 Page 3-31) =</t>
  </si>
  <si>
    <t>Load removed by Wet Vault =</t>
  </si>
  <si>
    <t xml:space="preserve">If a bypass occurs at a rainfall intensity of less than 1.1 in/hours </t>
  </si>
  <si>
    <t>Calculate the efficiency reduction for the actual rainfall intensity rate</t>
  </si>
  <si>
    <t>Actual Rainfall Intensity at which Wet Vault bypass Occurs =</t>
  </si>
  <si>
    <t>Fraction of rainfall treated from Figure 3-2 RG-348 Page 3-32 =</t>
  </si>
  <si>
    <t>Efficiency Reduction for Actual Rainfall Intensity =</t>
  </si>
  <si>
    <t>Resultant TSS Load removed by Wet Vault =</t>
  </si>
  <si>
    <t>18. Permeable Concrete</t>
  </si>
  <si>
    <t>Pages 3-79 to 3-83</t>
  </si>
  <si>
    <t>PERMEABLE CONCRETE MAY ONLY BE USED ON THE CONTRIBUTING ZONE</t>
  </si>
  <si>
    <t>19. BMPs Installed in a Series</t>
  </si>
  <si>
    <t>Pages 3-32</t>
  </si>
  <si>
    <r>
      <t>E</t>
    </r>
    <r>
      <rPr>
        <vertAlign val="subscript"/>
        <sz val="10"/>
        <rFont val="Arial"/>
        <family val="2"/>
      </rPr>
      <t>TOT</t>
    </r>
    <r>
      <rPr>
        <sz val="10"/>
        <rFont val="Arial"/>
        <family val="0"/>
      </rPr>
      <t xml:space="preserve"> = [1 - ((1 - E</t>
    </r>
    <r>
      <rPr>
        <vertAlign val="subscript"/>
        <sz val="10"/>
        <rFont val="Arial"/>
        <family val="2"/>
      </rPr>
      <t>1</t>
    </r>
    <r>
      <rPr>
        <sz val="10"/>
        <rFont val="Arial"/>
        <family val="0"/>
      </rPr>
      <t>) X (1 - 0.65E</t>
    </r>
    <r>
      <rPr>
        <vertAlign val="subscript"/>
        <sz val="10"/>
        <rFont val="Arial"/>
        <family val="2"/>
      </rPr>
      <t>2</t>
    </r>
    <r>
      <rPr>
        <sz val="10"/>
        <rFont val="Arial"/>
        <family val="0"/>
      </rPr>
      <t>) x (1 - 0.25E</t>
    </r>
    <r>
      <rPr>
        <vertAlign val="subscript"/>
        <sz val="10"/>
        <rFont val="Arial"/>
        <family val="2"/>
      </rPr>
      <t>3</t>
    </r>
    <r>
      <rPr>
        <sz val="10"/>
        <rFont val="Arial"/>
        <family val="0"/>
      </rPr>
      <t>))] X 100 =</t>
    </r>
  </si>
  <si>
    <t>NET EFFICIENCY OF THE BMPs IN THE SERIES</t>
  </si>
  <si>
    <r>
      <t>EFFICIENCY OF FIRST BMP IN THE SERIES = E</t>
    </r>
    <r>
      <rPr>
        <vertAlign val="subscript"/>
        <sz val="10"/>
        <rFont val="Arial"/>
        <family val="2"/>
      </rPr>
      <t>1</t>
    </r>
    <r>
      <rPr>
        <sz val="10"/>
        <rFont val="Arial"/>
        <family val="0"/>
      </rPr>
      <t xml:space="preserve"> =</t>
    </r>
  </si>
  <si>
    <r>
      <t>EFFICIENCY OF THE SECOND BMP IN THE SERIES = E</t>
    </r>
    <r>
      <rPr>
        <vertAlign val="subscript"/>
        <sz val="10"/>
        <rFont val="Arial"/>
        <family val="2"/>
      </rPr>
      <t>2</t>
    </r>
    <r>
      <rPr>
        <sz val="10"/>
        <rFont val="Arial"/>
        <family val="0"/>
      </rPr>
      <t xml:space="preserve"> =</t>
    </r>
  </si>
  <si>
    <r>
      <t>EFFICIENCY OF THE THIRD BMP IN THE SERIES = E</t>
    </r>
    <r>
      <rPr>
        <vertAlign val="subscript"/>
        <sz val="10"/>
        <rFont val="Arial"/>
        <family val="2"/>
      </rPr>
      <t>3</t>
    </r>
    <r>
      <rPr>
        <sz val="10"/>
        <rFont val="Arial"/>
        <family val="0"/>
      </rPr>
      <t xml:space="preserve"> =</t>
    </r>
  </si>
  <si>
    <t>THEREFORE, THE NET LOAD REMOVAL WOULD BE:</t>
  </si>
  <si>
    <r>
      <t>(A</t>
    </r>
    <r>
      <rPr>
        <vertAlign val="subscript"/>
        <sz val="10"/>
        <rFont val="Arial"/>
        <family val="2"/>
      </rPr>
      <t>I</t>
    </r>
    <r>
      <rPr>
        <sz val="10"/>
        <rFont val="Arial"/>
        <family val="0"/>
      </rPr>
      <t xml:space="preserve"> AND A</t>
    </r>
    <r>
      <rPr>
        <vertAlign val="subscript"/>
        <sz val="10"/>
        <rFont val="Arial"/>
        <family val="2"/>
      </rPr>
      <t>P</t>
    </r>
    <r>
      <rPr>
        <sz val="10"/>
        <rFont val="Arial"/>
        <family val="0"/>
      </rPr>
      <t xml:space="preserve"> VALUES ARE FROM SECTION 3 ABOVE)</t>
    </r>
  </si>
  <si>
    <r>
      <t>L</t>
    </r>
    <r>
      <rPr>
        <vertAlign val="subscript"/>
        <sz val="10"/>
        <rFont val="Arial"/>
        <family val="2"/>
      </rPr>
      <t>R</t>
    </r>
    <r>
      <rPr>
        <sz val="10"/>
        <rFont val="Arial"/>
        <family val="0"/>
      </rPr>
      <t xml:space="preserve"> = E</t>
    </r>
    <r>
      <rPr>
        <vertAlign val="subscript"/>
        <sz val="10"/>
        <rFont val="Arial"/>
        <family val="2"/>
      </rPr>
      <t>TOT</t>
    </r>
    <r>
      <rPr>
        <sz val="10"/>
        <rFont val="Arial"/>
        <family val="0"/>
      </rPr>
      <t xml:space="preserve"> X P X (A</t>
    </r>
    <r>
      <rPr>
        <vertAlign val="subscript"/>
        <sz val="10"/>
        <rFont val="Arial"/>
        <family val="2"/>
      </rPr>
      <t>I</t>
    </r>
    <r>
      <rPr>
        <sz val="10"/>
        <rFont val="Arial"/>
        <family val="0"/>
      </rPr>
      <t xml:space="preserve"> X 34.6 X A</t>
    </r>
    <r>
      <rPr>
        <vertAlign val="subscript"/>
        <sz val="10"/>
        <rFont val="Arial"/>
        <family val="2"/>
      </rPr>
      <t>P</t>
    </r>
    <r>
      <rPr>
        <sz val="10"/>
        <rFont val="Arial"/>
        <family val="0"/>
      </rPr>
      <t xml:space="preserve"> X0.54) =</t>
    </r>
  </si>
  <si>
    <t>Location</t>
  </si>
  <si>
    <t>Rainfall</t>
  </si>
  <si>
    <t>Bexar</t>
  </si>
  <si>
    <t>Comal</t>
  </si>
  <si>
    <t>Hays</t>
  </si>
  <si>
    <t>Kinney</t>
  </si>
  <si>
    <t>Medina</t>
  </si>
  <si>
    <t>Travis</t>
  </si>
  <si>
    <t>Uvalde</t>
  </si>
  <si>
    <t>Williamson</t>
  </si>
  <si>
    <t>Fraction of Annual Runoff</t>
  </si>
  <si>
    <t>Rainfall Depth</t>
  </si>
  <si>
    <t>Aqualogic Cartridge Filter</t>
  </si>
  <si>
    <t>Vegetated Filter Strips</t>
  </si>
  <si>
    <r>
      <t>Desired L</t>
    </r>
    <r>
      <rPr>
        <vertAlign val="subscript"/>
        <sz val="10"/>
        <rFont val="Arial"/>
        <family val="2"/>
      </rPr>
      <t>M THIS BASIN</t>
    </r>
    <r>
      <rPr>
        <sz val="10"/>
        <rFont val="Arial"/>
        <family val="0"/>
      </rPr>
      <t xml:space="preserve"> =</t>
    </r>
  </si>
  <si>
    <r>
      <t>C = Runoff Coefficient = 0.546 (IC)</t>
    </r>
    <r>
      <rPr>
        <b/>
        <vertAlign val="superscript"/>
        <sz val="10"/>
        <color indexed="14"/>
        <rFont val="Arial"/>
        <family val="2"/>
      </rPr>
      <t>2</t>
    </r>
    <r>
      <rPr>
        <b/>
        <sz val="10"/>
        <color indexed="14"/>
        <rFont val="Arial"/>
        <family val="2"/>
      </rPr>
      <t xml:space="preserve"> + 0.328 (IC) + 0.03</t>
    </r>
  </si>
  <si>
    <t>If vegetative filter strips are proposed for an interim permanent BMP, they may be sized as described on Page 3-56 of RG-348.</t>
  </si>
  <si>
    <t>1. The Required Load Reduction for the total project:</t>
  </si>
  <si>
    <t>2. Drainage Basin Parameters (This information should be provided for each basin):</t>
  </si>
  <si>
    <t>3. Indicate the proposed BMP Code for this basin.</t>
  </si>
  <si>
    <t>THE SIZING REQUIREMENTS FOR THE FOLLOWING BMPs / LOAD REMOVALS ARE BASED UPON FLOW RATES - NOT CALCULATED WATER QUALITY VOLUMES</t>
  </si>
  <si>
    <t>across 50 feet of natural vegetation with a maximum slope of 10%.  There can be a break in grade as long as no slope exceeds 20%.</t>
  </si>
  <si>
    <t>plus a second WQV.</t>
  </si>
  <si>
    <t>Characters shown in black (Bold) are calculated fields.  Changes to these fields will remove the equations used in the spreadsheet.</t>
  </si>
  <si>
    <t>Additional information is provided for cells with a red triangle in the upper right corner.  Place the cursor over the cell.</t>
  </si>
  <si>
    <t>Instructions are provided to the right (green comments).</t>
  </si>
  <si>
    <t>Instructions are provided to the right (blue comments).</t>
  </si>
  <si>
    <r>
      <t>Michael E. Barrett, Ph.D.. P.E. recommended that the coefficient for E</t>
    </r>
    <r>
      <rPr>
        <b/>
        <vertAlign val="subscript"/>
        <sz val="10"/>
        <color indexed="14"/>
        <rFont val="Arial"/>
        <family val="2"/>
      </rPr>
      <t>2</t>
    </r>
    <r>
      <rPr>
        <b/>
        <sz val="10"/>
        <color indexed="14"/>
        <rFont val="Arial"/>
        <family val="0"/>
      </rPr>
      <t xml:space="preserve"> be changed from 0.5 to 0.65 on May 3, 2006</t>
    </r>
  </si>
  <si>
    <r>
      <t>4. Calculate Maximum TSS Load Removed (L</t>
    </r>
    <r>
      <rPr>
        <b/>
        <u val="single"/>
        <vertAlign val="subscript"/>
        <sz val="10"/>
        <rFont val="Arial"/>
        <family val="2"/>
      </rPr>
      <t>R</t>
    </r>
    <r>
      <rPr>
        <b/>
        <u val="single"/>
        <sz val="10"/>
        <rFont val="Arial"/>
        <family val="2"/>
      </rPr>
      <t>) for this Drainage Basin by the selected BMP Type.</t>
    </r>
  </si>
  <si>
    <t>BMP Sizing</t>
  </si>
  <si>
    <t>Stormceptor</t>
  </si>
  <si>
    <t>Vortechs</t>
  </si>
  <si>
    <t>Table 1</t>
  </si>
  <si>
    <t>Table 1B</t>
  </si>
  <si>
    <t>Effective  Area (ac)</t>
  </si>
  <si>
    <t>Stormceptor Model</t>
  </si>
  <si>
    <t>Surface Area (sq. ft)</t>
  </si>
  <si>
    <t>450i</t>
  </si>
  <si>
    <t>Area Too Large</t>
  </si>
  <si>
    <t>900, 1200, 1800</t>
  </si>
  <si>
    <t>2400, 3600</t>
  </si>
  <si>
    <t>4800, 6000</t>
  </si>
  <si>
    <t>11000, 13000</t>
  </si>
  <si>
    <t>Table 2: Stormceptor BMP Efficiency and Overflow Rate (V(or))</t>
  </si>
  <si>
    <t>Overflow (f/s)</t>
  </si>
  <si>
    <t>Eff (%)</t>
  </si>
  <si>
    <t>Pick Model Size</t>
  </si>
  <si>
    <t>20. Stormceptor</t>
  </si>
  <si>
    <t>Stormceptor Calculation Tables</t>
  </si>
  <si>
    <t>TSS Load Credit =</t>
  </si>
  <si>
    <t>TSS Removal for Uncaptured Area =</t>
  </si>
  <si>
    <t>TSS Treatment by BMP (LM + TSS Uncapt.) =</t>
  </si>
  <si>
    <t>ac</t>
  </si>
  <si>
    <t>Required TSS Removal in BMP Drainage Area=</t>
  </si>
  <si>
    <t>Impervious Cover Overtreatment=</t>
  </si>
  <si>
    <t>Effective Area =</t>
  </si>
  <si>
    <t>EA</t>
  </si>
  <si>
    <t>Calculated Model Size(s) =</t>
  </si>
  <si>
    <t>Surface Area =</t>
  </si>
  <si>
    <r>
      <t>ft</t>
    </r>
    <r>
      <rPr>
        <vertAlign val="superscript"/>
        <sz val="10"/>
        <rFont val="Arial"/>
        <family val="2"/>
      </rPr>
      <t>2</t>
    </r>
  </si>
  <si>
    <t>Overflow Rate =</t>
  </si>
  <si>
    <r>
      <t>V</t>
    </r>
    <r>
      <rPr>
        <vertAlign val="subscript"/>
        <sz val="10"/>
        <rFont val="Arial"/>
        <family val="2"/>
      </rPr>
      <t>or</t>
    </r>
  </si>
  <si>
    <t>Rounded Overflow Rate =</t>
  </si>
  <si>
    <t>BMP Efficiency % =</t>
  </si>
  <si>
    <t>%</t>
  </si>
  <si>
    <r>
      <t>L</t>
    </r>
    <r>
      <rPr>
        <vertAlign val="subscript"/>
        <sz val="10"/>
        <rFont val="Arial"/>
        <family val="2"/>
      </rPr>
      <t>R</t>
    </r>
    <r>
      <rPr>
        <sz val="10"/>
        <rFont val="Arial"/>
        <family val="0"/>
      </rPr>
      <t xml:space="preserve"> Value =</t>
    </r>
  </si>
  <si>
    <t>Vx1000</t>
  </si>
  <si>
    <t>Vx2000</t>
  </si>
  <si>
    <t>Vx3000</t>
  </si>
  <si>
    <t>Vx4000</t>
  </si>
  <si>
    <t>Vx5000</t>
  </si>
  <si>
    <t>Vx7000</t>
  </si>
  <si>
    <t>Vx9000</t>
  </si>
  <si>
    <t>Vx11000</t>
  </si>
  <si>
    <t>Vx16000</t>
  </si>
  <si>
    <t>Vx1319</t>
  </si>
  <si>
    <t>Vx1421</t>
  </si>
  <si>
    <t>Vortech Model</t>
  </si>
  <si>
    <t>21. Vortech</t>
  </si>
  <si>
    <t>Model Size</t>
  </si>
  <si>
    <t>Actual Model Size (if multiple values provided in Calculated Model Size or if you are choosing a larger model size) =</t>
  </si>
  <si>
    <t>Actual Model Size (if choosing larger model size) =</t>
  </si>
  <si>
    <t>Vortechs Calculation Tables</t>
  </si>
  <si>
    <r>
      <t xml:space="preserve">Is Sufficient Treatment Available? (TSS Credit </t>
    </r>
    <r>
      <rPr>
        <u val="single"/>
        <sz val="10"/>
        <rFont val="Arial"/>
        <family val="2"/>
      </rPr>
      <t>&gt;</t>
    </r>
    <r>
      <rPr>
        <sz val="10"/>
        <rFont val="Arial"/>
        <family val="0"/>
      </rPr>
      <t xml:space="preserve"> TSS Uncapt.)</t>
    </r>
  </si>
  <si>
    <r>
      <t>** 2005 Technical Guidance Manual (RG-348) does not exempt the required 20% increase with maintenance contract with AquaLogic</t>
    </r>
    <r>
      <rPr>
        <b/>
        <vertAlign val="superscript"/>
        <sz val="10"/>
        <color indexed="14"/>
        <rFont val="Arial"/>
        <family val="2"/>
      </rPr>
      <t>TM</t>
    </r>
    <r>
      <rPr>
        <b/>
        <sz val="10"/>
        <color indexed="14"/>
        <rFont val="Arial"/>
        <family val="2"/>
      </rPr>
      <t>.</t>
    </r>
  </si>
  <si>
    <t>The values for BMP Types not selected in cell C45 will show NA.</t>
  </si>
  <si>
    <t>Excel can simultaneously solve the “Design Q” (C217) vs “Manning's Q” (C219) by varying the “Swale Width” (C220).</t>
  </si>
  <si>
    <t>First, highlight Cell F219 (Error 1 value).  The equation showing in the fx screen for Cell F219 should be “= $C$217-$C$219"</t>
  </si>
  <si>
    <t>The value in the “Set Target cell” should be $F$219            “Error 1 ="</t>
  </si>
  <si>
    <t>The value in the “By Changing Cells” should be $C$220     “Swale Width”</t>
  </si>
  <si>
    <t>Excel can simultaneously solve the “Design Q” (C217) vs “Design Discharge” (C232) by varying the “Design Depth” (C233).</t>
  </si>
  <si>
    <t>The required “Design Depth” for a 10-foot bottom width occurs when the “Design Q” (C217) = the “Design Discharge” (C232).</t>
  </si>
  <si>
    <t xml:space="preserve">First set the desired bottom width in Cell C231. </t>
  </si>
  <si>
    <t>Highlight Cell F232.  The equation showing in the fx screen for Cell F232 should be “= $C$217-$C$232"</t>
  </si>
  <si>
    <t>The value in the “Set Target cell” should be $F$232             “Error 2"</t>
  </si>
  <si>
    <t>The value in the “By Changing Cells” should be $C$233       “Design Depth”</t>
  </si>
  <si>
    <t>The value in the “Set Target cell” should be $F$232            “Error 2"</t>
  </si>
  <si>
    <t>TSS Removal Calculations 04-20-2009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</si>
</sst>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0000000"/>
    <numFmt numFmtId="166" formatCode="0.0000"/>
    <numFmt numFmtId="167" formatCode="0.000000"/>
    <numFmt numFmtId="168" formatCode="0.00000000000000000000"/>
    <numFmt numFmtId="169" formatCode="0.000000000000"/>
    <numFmt numFmtId="170" formatCode="0.0000000000000000000000000000"/>
    <numFmt numFmtId="171" formatCode="0.0000000"/>
  </numFmts>
  <fonts count="42">
    <font>
      <sz val="10"/>
      <name val="Arial"/>
      <family val="0"/>
    </font>
    <font>
      <sz val="14"/>
      <name val="Arial"/>
      <family val="2"/>
    </font>
    <font>
      <b/>
      <i/>
      <sz val="12"/>
      <name val="Arial"/>
      <family val="2"/>
    </font>
    <font>
      <b/>
      <sz val="10"/>
      <name val="Arial"/>
      <family val="0"/>
    </font>
    <font>
      <b/>
      <sz val="12"/>
      <color indexed="10"/>
      <name val="Arial"/>
      <family val="2"/>
    </font>
    <font>
      <sz val="12"/>
      <name val="Arial"/>
      <family val="0"/>
    </font>
    <font>
      <b/>
      <sz val="12"/>
      <color indexed="14"/>
      <name val="Arial"/>
      <family val="2"/>
    </font>
    <font>
      <sz val="12"/>
      <color indexed="12"/>
      <name val="Arial"/>
      <family val="2"/>
    </font>
    <font>
      <sz val="10"/>
      <color indexed="12"/>
      <name val="Arial"/>
      <family val="0"/>
    </font>
    <font>
      <sz val="10"/>
      <color indexed="10"/>
      <name val="Arial"/>
      <family val="2"/>
    </font>
    <font>
      <b/>
      <u val="single"/>
      <sz val="10"/>
      <name val="Arial"/>
      <family val="2"/>
    </font>
    <font>
      <vertAlign val="subscript"/>
      <sz val="10"/>
      <name val="Arial"/>
      <family val="2"/>
    </font>
    <font>
      <sz val="8"/>
      <name val="Arial"/>
      <family val="2"/>
    </font>
    <font>
      <b/>
      <sz val="10"/>
      <color indexed="10"/>
      <name val="Arial"/>
      <family val="2"/>
    </font>
    <font>
      <sz val="10"/>
      <color indexed="14"/>
      <name val="Arial"/>
      <family val="2"/>
    </font>
    <font>
      <b/>
      <sz val="10"/>
      <color indexed="8"/>
      <name val="Arial"/>
      <family val="2"/>
    </font>
    <font>
      <b/>
      <sz val="10"/>
      <color indexed="14"/>
      <name val="Arial"/>
      <family val="2"/>
    </font>
    <font>
      <vertAlign val="superscript"/>
      <sz val="10"/>
      <name val="Arial"/>
      <family val="2"/>
    </font>
    <font>
      <b/>
      <u val="single"/>
      <vertAlign val="subscript"/>
      <sz val="10"/>
      <name val="Arial"/>
      <family val="2"/>
    </font>
    <font>
      <sz val="10"/>
      <color indexed="39"/>
      <name val="Arial"/>
      <family val="2"/>
    </font>
    <font>
      <sz val="10"/>
      <color indexed="48"/>
      <name val="Arial"/>
      <family val="2"/>
    </font>
    <font>
      <b/>
      <u val="double"/>
      <sz val="10"/>
      <color indexed="14"/>
      <name val="Arial"/>
      <family val="2"/>
    </font>
    <font>
      <b/>
      <u val="single"/>
      <vertAlign val="superscript"/>
      <sz val="10"/>
      <name val="Arial"/>
      <family val="2"/>
    </font>
    <font>
      <b/>
      <vertAlign val="superscript"/>
      <sz val="10"/>
      <color indexed="14"/>
      <name val="Arial"/>
      <family val="2"/>
    </font>
    <font>
      <u val="single"/>
      <sz val="10"/>
      <name val="Arial"/>
      <family val="2"/>
    </font>
    <font>
      <vertAlign val="subscript"/>
      <sz val="16"/>
      <name val="Arial"/>
      <family val="2"/>
    </font>
    <font>
      <b/>
      <sz val="10"/>
      <color indexed="57"/>
      <name val="Arial"/>
      <family val="2"/>
    </font>
    <font>
      <b/>
      <sz val="10"/>
      <color indexed="12"/>
      <name val="Arial"/>
      <family val="2"/>
    </font>
    <font>
      <b/>
      <sz val="10"/>
      <color indexed="11"/>
      <name val="Arial"/>
      <family val="2"/>
    </font>
    <font>
      <sz val="12"/>
      <name val="Times New Roman"/>
      <family val="1"/>
    </font>
    <font>
      <b/>
      <i/>
      <sz val="12"/>
      <color indexed="10"/>
      <name val="Arial"/>
      <family val="2"/>
    </font>
    <font>
      <b/>
      <sz val="10"/>
      <color indexed="38"/>
      <name val="Arial"/>
      <family val="2"/>
    </font>
    <font>
      <sz val="8"/>
      <name val="Tahoma"/>
      <family val="0"/>
    </font>
    <font>
      <b/>
      <sz val="8"/>
      <name val="Tahoma"/>
      <family val="0"/>
    </font>
    <font>
      <b/>
      <sz val="8"/>
      <color indexed="14"/>
      <name val="Tahoma"/>
      <family val="2"/>
    </font>
    <font>
      <b/>
      <sz val="12"/>
      <name val="Arial"/>
      <family val="2"/>
    </font>
    <font>
      <b/>
      <vertAlign val="subscript"/>
      <sz val="10"/>
      <color indexed="14"/>
      <name val="Tahoma"/>
      <family val="2"/>
    </font>
    <font>
      <b/>
      <sz val="10"/>
      <color indexed="39"/>
      <name val="Arial"/>
      <family val="0"/>
    </font>
    <font>
      <b/>
      <vertAlign val="subscript"/>
      <sz val="10"/>
      <color indexed="14"/>
      <name val="Arial"/>
      <family val="2"/>
    </font>
    <font>
      <b/>
      <u val="single"/>
      <sz val="8"/>
      <name val="Tahoma"/>
      <family val="2"/>
    </font>
    <font>
      <b/>
      <u val="single"/>
      <vertAlign val="superscript"/>
      <sz val="8"/>
      <name val="Tahoma"/>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19">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14" fontId="4" fillId="0" borderId="0" xfId="0" applyNumberFormat="1" applyFont="1" applyAlignment="1" applyProtection="1">
      <alignment/>
      <protection locked="0"/>
    </xf>
    <xf numFmtId="0" fontId="13" fillId="0" borderId="0" xfId="0" applyFont="1" applyAlignment="1" applyProtection="1">
      <alignment horizontal="center"/>
      <protection locked="0"/>
    </xf>
    <xf numFmtId="2" fontId="13"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xf>
    <xf numFmtId="2" fontId="13" fillId="0" borderId="1" xfId="0" applyNumberFormat="1" applyFont="1" applyBorder="1" applyAlignment="1" applyProtection="1">
      <alignment horizontal="center"/>
      <protection locked="0"/>
    </xf>
    <xf numFmtId="2" fontId="15" fillId="0" borderId="1" xfId="0" applyNumberFormat="1" applyFont="1" applyBorder="1" applyAlignment="1" applyProtection="1">
      <alignment horizontal="center"/>
      <protection/>
    </xf>
    <xf numFmtId="0" fontId="3" fillId="0" borderId="1" xfId="0" applyFont="1" applyBorder="1" applyAlignment="1" applyProtection="1">
      <alignment horizontal="center"/>
      <protection/>
    </xf>
    <xf numFmtId="0" fontId="13" fillId="0" borderId="0" xfId="0" applyFont="1" applyAlignment="1" applyProtection="1">
      <alignment horizontal="center"/>
      <protection locked="0"/>
    </xf>
    <xf numFmtId="2" fontId="13" fillId="0" borderId="0" xfId="0" applyNumberFormat="1" applyFont="1" applyBorder="1" applyAlignment="1" applyProtection="1">
      <alignment horizontal="center"/>
      <protection locked="0"/>
    </xf>
    <xf numFmtId="2" fontId="15" fillId="0" borderId="0" xfId="0" applyNumberFormat="1" applyFont="1" applyBorder="1" applyAlignment="1" applyProtection="1">
      <alignment horizontal="center"/>
      <protection/>
    </xf>
    <xf numFmtId="164" fontId="3" fillId="0" borderId="0" xfId="0" applyNumberFormat="1" applyFont="1" applyAlignment="1" applyProtection="1">
      <alignment horizontal="center"/>
      <protection/>
    </xf>
    <xf numFmtId="2" fontId="3" fillId="0" borderId="0" xfId="0" applyNumberFormat="1" applyFont="1" applyAlignment="1" applyProtection="1">
      <alignment horizontal="center"/>
      <protection/>
    </xf>
    <xf numFmtId="2" fontId="15" fillId="0" borderId="0" xfId="0" applyNumberFormat="1" applyFont="1" applyAlignment="1" applyProtection="1">
      <alignment horizontal="center"/>
      <protection/>
    </xf>
    <xf numFmtId="2" fontId="9" fillId="0" borderId="0" xfId="0" applyNumberFormat="1" applyFont="1" applyAlignment="1" applyProtection="1">
      <alignment/>
      <protection locked="0"/>
    </xf>
    <xf numFmtId="0" fontId="9" fillId="0" borderId="0" xfId="0" applyFont="1" applyAlignment="1" applyProtection="1">
      <alignment/>
      <protection locked="0"/>
    </xf>
    <xf numFmtId="2" fontId="0" fillId="0" borderId="0" xfId="0" applyNumberFormat="1" applyAlignment="1">
      <alignment/>
    </xf>
    <xf numFmtId="2"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Alignment="1" applyProtection="1">
      <alignment/>
      <protection/>
    </xf>
    <xf numFmtId="0" fontId="29" fillId="0" borderId="0" xfId="0" applyFont="1" applyAlignment="1">
      <alignment horizontal="justify" vertical="top" wrapText="1"/>
    </xf>
    <xf numFmtId="0" fontId="29" fillId="0" borderId="0" xfId="0" applyFont="1" applyAlignment="1">
      <alignment horizontal="center" vertical="top" wrapText="1"/>
    </xf>
    <xf numFmtId="0" fontId="29" fillId="0" borderId="2" xfId="0" applyFont="1" applyBorder="1" applyAlignment="1">
      <alignment horizontal="justify" vertical="top" wrapText="1"/>
    </xf>
    <xf numFmtId="0" fontId="29" fillId="0" borderId="2" xfId="0" applyFont="1" applyBorder="1" applyAlignment="1">
      <alignment horizontal="center" vertical="top" wrapText="1"/>
    </xf>
    <xf numFmtId="0" fontId="0" fillId="0" borderId="0" xfId="0" applyAlignment="1" applyProtection="1">
      <alignment horizontal="center"/>
      <protection/>
    </xf>
    <xf numFmtId="0" fontId="0" fillId="0" borderId="0" xfId="0" applyBorder="1" applyAlignment="1">
      <alignment/>
    </xf>
    <xf numFmtId="0" fontId="0" fillId="0" borderId="0" xfId="0" applyFill="1" applyBorder="1" applyAlignment="1">
      <alignment/>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Fill="1" applyBorder="1" applyAlignment="1">
      <alignment/>
    </xf>
    <xf numFmtId="2" fontId="0" fillId="0" borderId="6" xfId="0" applyNumberForma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6" xfId="0" applyFill="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0" borderId="8" xfId="0" applyFill="1" applyBorder="1" applyAlignment="1">
      <alignment horizontal="center"/>
    </xf>
    <xf numFmtId="0" fontId="0" fillId="0" borderId="8" xfId="0"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0" xfId="0" applyFill="1" applyBorder="1" applyAlignment="1">
      <alignment horizontal="center"/>
    </xf>
    <xf numFmtId="0" fontId="0" fillId="0" borderId="11" xfId="0" applyBorder="1" applyAlignment="1">
      <alignment horizontal="center"/>
    </xf>
    <xf numFmtId="0" fontId="3" fillId="0" borderId="0" xfId="0" applyFont="1" applyFill="1" applyBorder="1" applyAlignment="1">
      <alignment horizontal="left"/>
    </xf>
    <xf numFmtId="0" fontId="3" fillId="0" borderId="12" xfId="0" applyFont="1" applyBorder="1" applyAlignment="1">
      <alignment/>
    </xf>
    <xf numFmtId="166" fontId="0" fillId="0" borderId="0" xfId="0" applyNumberFormat="1" applyAlignment="1">
      <alignment/>
    </xf>
    <xf numFmtId="167" fontId="0" fillId="0" borderId="0" xfId="0" applyNumberFormat="1" applyFill="1" applyBorder="1" applyAlignment="1">
      <alignment/>
    </xf>
    <xf numFmtId="2" fontId="0" fillId="0" borderId="0" xfId="0" applyNumberFormat="1" applyFill="1" applyBorder="1" applyAlignment="1">
      <alignment/>
    </xf>
    <xf numFmtId="166" fontId="0" fillId="0" borderId="0" xfId="0" applyNumberFormat="1" applyFill="1" applyBorder="1" applyAlignment="1">
      <alignment/>
    </xf>
    <xf numFmtId="0" fontId="0" fillId="0" borderId="8" xfId="0" applyBorder="1" applyAlignment="1">
      <alignment/>
    </xf>
    <xf numFmtId="0" fontId="0" fillId="0" borderId="9" xfId="0" applyBorder="1" applyAlignment="1">
      <alignment/>
    </xf>
    <xf numFmtId="166" fontId="0" fillId="0" borderId="13" xfId="0" applyNumberFormat="1" applyBorder="1" applyAlignment="1">
      <alignment/>
    </xf>
    <xf numFmtId="2" fontId="0" fillId="0" borderId="14" xfId="0" applyNumberFormat="1" applyBorder="1" applyAlignment="1">
      <alignment/>
    </xf>
    <xf numFmtId="166" fontId="0" fillId="0" borderId="8" xfId="0" applyNumberFormat="1" applyBorder="1" applyAlignment="1">
      <alignment/>
    </xf>
    <xf numFmtId="2" fontId="0" fillId="0" borderId="9" xfId="0" applyNumberFormat="1" applyBorder="1" applyAlignment="1">
      <alignment/>
    </xf>
    <xf numFmtId="166" fontId="0" fillId="0" borderId="8" xfId="0" applyNumberFormat="1" applyFill="1" applyBorder="1" applyAlignment="1">
      <alignment/>
    </xf>
    <xf numFmtId="166" fontId="0" fillId="0" borderId="10" xfId="0" applyNumberFormat="1" applyBorder="1" applyAlignment="1">
      <alignment/>
    </xf>
    <xf numFmtId="2" fontId="0" fillId="0" borderId="11" xfId="0" applyNumberFormat="1" applyBorder="1" applyAlignment="1">
      <alignment/>
    </xf>
    <xf numFmtId="0" fontId="0" fillId="0" borderId="10" xfId="0" applyBorder="1" applyAlignment="1">
      <alignment horizontal="center"/>
    </xf>
    <xf numFmtId="2" fontId="0" fillId="0" borderId="10" xfId="0" applyNumberFormat="1" applyBorder="1" applyAlignment="1">
      <alignment horizontal="center"/>
    </xf>
    <xf numFmtId="167" fontId="0" fillId="0" borderId="3" xfId="0" applyNumberFormat="1" applyBorder="1" applyAlignment="1">
      <alignment/>
    </xf>
    <xf numFmtId="2" fontId="0" fillId="0" borderId="3" xfId="0" applyNumberFormat="1" applyBorder="1" applyAlignment="1">
      <alignment/>
    </xf>
    <xf numFmtId="167" fontId="0" fillId="0" borderId="13" xfId="0" applyNumberFormat="1" applyBorder="1" applyAlignment="1">
      <alignment/>
    </xf>
    <xf numFmtId="167" fontId="0" fillId="0" borderId="8" xfId="0" applyNumberFormat="1" applyBorder="1" applyAlignment="1">
      <alignment/>
    </xf>
    <xf numFmtId="167" fontId="0" fillId="0" borderId="8" xfId="0" applyNumberFormat="1" applyFill="1" applyBorder="1" applyAlignment="1">
      <alignment/>
    </xf>
    <xf numFmtId="167" fontId="0" fillId="0" borderId="10" xfId="0" applyNumberFormat="1" applyBorder="1" applyAlignment="1">
      <alignment/>
    </xf>
    <xf numFmtId="2" fontId="13" fillId="0" borderId="0" xfId="0" applyNumberFormat="1" applyFont="1" applyAlignment="1" applyProtection="1">
      <alignment horizontal="left"/>
      <protection locked="0"/>
    </xf>
    <xf numFmtId="1" fontId="13" fillId="0" borderId="0" xfId="0" applyNumberFormat="1" applyFont="1" applyAlignment="1" applyProtection="1">
      <alignment horizontal="center"/>
      <protection locked="0"/>
    </xf>
    <xf numFmtId="166" fontId="9"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right"/>
      <protection/>
    </xf>
    <xf numFmtId="0" fontId="4" fillId="0" borderId="0" xfId="0" applyFont="1" applyAlignment="1" applyProtection="1">
      <alignment/>
      <protection/>
    </xf>
    <xf numFmtId="0" fontId="0" fillId="0" borderId="0" xfId="0" applyFont="1" applyAlignment="1" applyProtection="1">
      <alignment/>
      <protection/>
    </xf>
    <xf numFmtId="14" fontId="4" fillId="0" borderId="0" xfId="0" applyNumberFormat="1" applyFont="1" applyAlignment="1" applyProtection="1">
      <alignment/>
      <protection/>
    </xf>
    <xf numFmtId="14" fontId="5" fillId="0" borderId="0" xfId="0" applyNumberFormat="1"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35"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5" fillId="0" borderId="0" xfId="0" applyFont="1" applyAlignment="1" applyProtection="1">
      <alignment/>
      <protection/>
    </xf>
    <xf numFmtId="0" fontId="16" fillId="0" borderId="0" xfId="0" applyFont="1" applyAlignment="1" applyProtection="1">
      <alignment/>
      <protection/>
    </xf>
    <xf numFmtId="0" fontId="13" fillId="0" borderId="0" xfId="0" applyFont="1" applyAlignment="1" applyProtection="1">
      <alignment horizontal="center"/>
      <protection/>
    </xf>
    <xf numFmtId="0" fontId="14" fillId="0" borderId="0" xfId="0" applyFont="1" applyAlignment="1" applyProtection="1">
      <alignment/>
      <protection/>
    </xf>
    <xf numFmtId="0" fontId="0" fillId="0" borderId="0" xfId="0" applyFont="1" applyAlignment="1" applyProtection="1">
      <alignment horizontal="right"/>
      <protection/>
    </xf>
    <xf numFmtId="0" fontId="19" fillId="0" borderId="0" xfId="0" applyFont="1" applyAlignment="1" applyProtection="1">
      <alignment horizontal="right"/>
      <protection/>
    </xf>
    <xf numFmtId="0" fontId="0" fillId="0" borderId="0" xfId="0" applyFont="1" applyAlignment="1" applyProtection="1">
      <alignment horizontal="left"/>
      <protection/>
    </xf>
    <xf numFmtId="2" fontId="0" fillId="0" borderId="0" xfId="0" applyNumberFormat="1" applyFont="1" applyAlignment="1" applyProtection="1">
      <alignment horizontal="left"/>
      <protection/>
    </xf>
    <xf numFmtId="0" fontId="10" fillId="0" borderId="0" xfId="0" applyFont="1" applyAlignment="1" applyProtection="1">
      <alignment horizontal="left"/>
      <protection/>
    </xf>
    <xf numFmtId="0" fontId="30" fillId="0" borderId="0" xfId="0" applyFont="1" applyAlignment="1" applyProtection="1">
      <alignment/>
      <protection/>
    </xf>
    <xf numFmtId="0" fontId="20" fillId="0" borderId="0" xfId="0" applyFont="1" applyAlignment="1" applyProtection="1">
      <alignment/>
      <protection/>
    </xf>
    <xf numFmtId="0" fontId="21" fillId="0" borderId="0" xfId="0" applyFont="1" applyAlignment="1" applyProtection="1">
      <alignment horizontal="left"/>
      <protection/>
    </xf>
    <xf numFmtId="0" fontId="31" fillId="0" borderId="0" xfId="0" applyFont="1" applyAlignment="1" applyProtection="1">
      <alignment/>
      <protection/>
    </xf>
    <xf numFmtId="0" fontId="3" fillId="0" borderId="0" xfId="0" applyFont="1" applyAlignment="1" applyProtection="1">
      <alignment horizontal="right"/>
      <protection/>
    </xf>
    <xf numFmtId="0" fontId="16" fillId="0" borderId="0" xfId="0" applyFont="1" applyAlignment="1" applyProtection="1">
      <alignment/>
      <protection/>
    </xf>
    <xf numFmtId="0" fontId="16" fillId="0" borderId="0" xfId="0" applyFont="1" applyAlignment="1" applyProtection="1">
      <alignment horizontal="left"/>
      <protection/>
    </xf>
    <xf numFmtId="0" fontId="3" fillId="0" borderId="0" xfId="0" applyFont="1" applyAlignment="1" applyProtection="1">
      <alignment/>
      <protection/>
    </xf>
    <xf numFmtId="0" fontId="14" fillId="0" borderId="0" xfId="0" applyFont="1" applyAlignment="1" applyProtection="1">
      <alignment horizontal="right"/>
      <protection/>
    </xf>
    <xf numFmtId="0" fontId="14" fillId="0" borderId="0" xfId="0" applyFont="1" applyAlignment="1" applyProtection="1">
      <alignment horizontal="left"/>
      <protection/>
    </xf>
    <xf numFmtId="0" fontId="24" fillId="0" borderId="0" xfId="0" applyFont="1" applyAlignment="1" applyProtection="1">
      <alignment/>
      <protection/>
    </xf>
    <xf numFmtId="0" fontId="16" fillId="0" borderId="0" xfId="0" applyFont="1" applyAlignment="1" applyProtection="1">
      <alignment horizontal="left"/>
      <protection/>
    </xf>
    <xf numFmtId="2" fontId="9" fillId="0" borderId="0" xfId="0" applyNumberFormat="1" applyFont="1" applyAlignment="1" applyProtection="1">
      <alignment/>
      <protection/>
    </xf>
    <xf numFmtId="0" fontId="9" fillId="0" borderId="0" xfId="0" applyFont="1" applyAlignment="1" applyProtection="1">
      <alignment/>
      <protection/>
    </xf>
    <xf numFmtId="2" fontId="0" fillId="0" borderId="0" xfId="0" applyNumberFormat="1" applyFont="1" applyAlignment="1" applyProtection="1">
      <alignment/>
      <protection/>
    </xf>
    <xf numFmtId="0" fontId="25" fillId="0" borderId="0" xfId="0" applyFont="1" applyAlignment="1" applyProtection="1">
      <alignment horizontal="right"/>
      <protection/>
    </xf>
    <xf numFmtId="0" fontId="0" fillId="0" borderId="0" xfId="0" applyAlignment="1" applyProtection="1">
      <alignment horizontal="left"/>
      <protection/>
    </xf>
    <xf numFmtId="166" fontId="0" fillId="0" borderId="0" xfId="0" applyNumberFormat="1" applyAlignment="1" applyProtection="1">
      <alignment/>
      <protection/>
    </xf>
    <xf numFmtId="0" fontId="14" fillId="0" borderId="0" xfId="0" applyFont="1" applyAlignment="1" applyProtection="1">
      <alignment horizontal="left"/>
      <protection/>
    </xf>
    <xf numFmtId="0" fontId="26" fillId="0" borderId="0" xfId="0" applyFont="1" applyAlignment="1" applyProtection="1">
      <alignment/>
      <protection/>
    </xf>
    <xf numFmtId="0" fontId="0" fillId="0" borderId="0" xfId="0" applyFont="1" applyAlignment="1" applyProtection="1">
      <alignment/>
      <protection/>
    </xf>
    <xf numFmtId="0" fontId="37" fillId="0" borderId="0" xfId="0" applyFont="1" applyAlignment="1" applyProtection="1">
      <alignment/>
      <protection/>
    </xf>
    <xf numFmtId="0" fontId="27" fillId="0" borderId="0" xfId="0" applyFont="1" applyAlignment="1" applyProtection="1">
      <alignment/>
      <protection/>
    </xf>
    <xf numFmtId="0" fontId="28" fillId="0" borderId="0" xfId="0" applyFont="1" applyAlignment="1" applyProtection="1">
      <alignment horizontal="left"/>
      <protection/>
    </xf>
    <xf numFmtId="0" fontId="16" fillId="2" borderId="0" xfId="0" applyFont="1" applyFill="1" applyAlignment="1" applyProtection="1">
      <alignment/>
      <protection/>
    </xf>
    <xf numFmtId="0" fontId="19" fillId="0" borderId="0" xfId="0" applyFont="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right" vertical="center"/>
      <protection/>
    </xf>
    <xf numFmtId="2" fontId="3" fillId="0" borderId="0" xfId="0" applyNumberFormat="1" applyFont="1" applyAlignment="1" applyProtection="1">
      <alignment horizontal="center" vertical="center"/>
      <protection/>
    </xf>
    <xf numFmtId="0" fontId="0" fillId="0" borderId="0" xfId="0" applyAlignment="1" applyProtection="1">
      <alignment horizontal="right" vertical="center"/>
      <protection/>
    </xf>
    <xf numFmtId="2" fontId="0" fillId="0" borderId="0" xfId="0" applyNumberFormat="1" applyAlignment="1" applyProtection="1">
      <alignment horizontal="center" vertical="center"/>
      <protection/>
    </xf>
    <xf numFmtId="167" fontId="0" fillId="0" borderId="0" xfId="0" applyNumberFormat="1" applyAlignment="1" applyProtection="1">
      <alignment horizontal="center" vertical="center"/>
      <protection/>
    </xf>
    <xf numFmtId="0" fontId="0" fillId="0" borderId="0" xfId="0" applyAlignment="1" applyProtection="1">
      <alignment horizontal="right" vertical="center" wrapText="1"/>
      <protection/>
    </xf>
    <xf numFmtId="0" fontId="3" fillId="3" borderId="15" xfId="0" applyFont="1" applyFill="1" applyBorder="1" applyAlignment="1">
      <alignment horizontal="center"/>
    </xf>
    <xf numFmtId="0" fontId="0" fillId="0" borderId="16" xfId="0" applyBorder="1" applyAlignment="1">
      <alignment/>
    </xf>
    <xf numFmtId="0" fontId="0" fillId="3" borderId="16" xfId="0" applyFill="1" applyBorder="1" applyAlignment="1">
      <alignment horizontal="center"/>
    </xf>
    <xf numFmtId="0" fontId="3" fillId="3" borderId="17" xfId="0" applyFont="1" applyFill="1" applyBorder="1" applyAlignment="1">
      <alignment horizontal="left" wrapText="1"/>
    </xf>
    <xf numFmtId="0" fontId="0" fillId="0" borderId="18" xfId="0"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xdr:colOff>
      <xdr:row>234</xdr:row>
      <xdr:rowOff>57150</xdr:rowOff>
    </xdr:from>
    <xdr:ext cx="76200" cy="200025"/>
    <xdr:sp>
      <xdr:nvSpPr>
        <xdr:cNvPr id="1" name="TextBox 1"/>
        <xdr:cNvSpPr txBox="1">
          <a:spLocks noChangeArrowheads="1"/>
        </xdr:cNvSpPr>
      </xdr:nvSpPr>
      <xdr:spPr>
        <a:xfrm>
          <a:off x="7038975" y="3968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51"/>
  <sheetViews>
    <sheetView tabSelected="1" workbookViewId="0" topLeftCell="A1">
      <selection activeCell="F4" sqref="F4"/>
    </sheetView>
  </sheetViews>
  <sheetFormatPr defaultColWidth="9.140625" defaultRowHeight="12.75"/>
  <cols>
    <col min="1" max="1" width="13.28125" style="21" customWidth="1"/>
    <col min="2" max="2" width="51.28125" style="21" customWidth="1"/>
    <col min="3" max="3" width="12.57421875" style="21" customWidth="1"/>
    <col min="4" max="4" width="10.421875" style="21" customWidth="1"/>
    <col min="5" max="5" width="17.8515625" style="21" customWidth="1"/>
    <col min="6" max="6" width="11.421875" style="21" customWidth="1"/>
    <col min="7" max="7" width="7.8515625" style="21" customWidth="1"/>
    <col min="8" max="16384" width="9.140625" style="21" customWidth="1"/>
  </cols>
  <sheetData>
    <row r="1" ht="18">
      <c r="A1" s="75" t="s">
        <v>0</v>
      </c>
    </row>
    <row r="2" ht="12.75"/>
    <row r="3" spans="1:6" ht="15.75">
      <c r="A3" s="76" t="s">
        <v>319</v>
      </c>
      <c r="E3" s="77" t="s">
        <v>1</v>
      </c>
      <c r="F3" s="2" t="s">
        <v>3</v>
      </c>
    </row>
    <row r="4" spans="1:6" ht="15.75">
      <c r="A4" s="79"/>
      <c r="E4" s="77" t="s">
        <v>2</v>
      </c>
      <c r="F4" s="3" t="s">
        <v>3</v>
      </c>
    </row>
    <row r="5" spans="1:6" ht="15">
      <c r="A5" s="79"/>
      <c r="E5" s="77"/>
      <c r="F5" s="81"/>
    </row>
    <row r="6" spans="1:6" ht="15.75">
      <c r="A6" s="82" t="s">
        <v>246</v>
      </c>
      <c r="E6" s="77"/>
      <c r="F6" s="81"/>
    </row>
    <row r="7" spans="1:6" ht="15">
      <c r="A7" s="83" t="s">
        <v>4</v>
      </c>
      <c r="E7" s="77"/>
      <c r="F7" s="81"/>
    </row>
    <row r="8" spans="1:6" ht="15.75">
      <c r="A8" s="78" t="s">
        <v>5</v>
      </c>
      <c r="C8" s="84"/>
      <c r="E8" s="77"/>
      <c r="F8" s="80"/>
    </row>
    <row r="9" spans="1:6" ht="15.75">
      <c r="A9" s="85" t="s">
        <v>245</v>
      </c>
      <c r="C9" s="84"/>
      <c r="E9" s="77"/>
      <c r="F9" s="80"/>
    </row>
    <row r="10" spans="1:6" ht="15.75">
      <c r="A10" s="86"/>
      <c r="C10" s="84"/>
      <c r="E10" s="77"/>
      <c r="F10" s="80"/>
    </row>
    <row r="11" spans="1:6" ht="12.75">
      <c r="A11" s="87" t="s">
        <v>239</v>
      </c>
      <c r="C11" s="84" t="s">
        <v>6</v>
      </c>
      <c r="E11" s="77"/>
      <c r="F11" s="84" t="s">
        <v>7</v>
      </c>
    </row>
    <row r="12" spans="1:6" ht="15.75">
      <c r="A12" s="79"/>
      <c r="C12" s="84"/>
      <c r="E12" s="77"/>
      <c r="F12" s="80"/>
    </row>
    <row r="13" spans="2:3" ht="15.75">
      <c r="B13" s="88" t="s">
        <v>8</v>
      </c>
      <c r="C13" s="21" t="s">
        <v>9</v>
      </c>
    </row>
    <row r="14" ht="12.75"/>
    <row r="15" spans="1:3" ht="15.75">
      <c r="A15" s="88" t="s">
        <v>10</v>
      </c>
      <c r="B15" s="88" t="s">
        <v>11</v>
      </c>
      <c r="C15" s="21" t="s">
        <v>12</v>
      </c>
    </row>
    <row r="16" spans="2:3" ht="15.75">
      <c r="B16" s="88" t="s">
        <v>13</v>
      </c>
      <c r="C16" s="21" t="s">
        <v>14</v>
      </c>
    </row>
    <row r="17" spans="2:3" ht="12.75">
      <c r="B17" s="88" t="s">
        <v>15</v>
      </c>
      <c r="C17" s="21" t="s">
        <v>16</v>
      </c>
    </row>
    <row r="18" ht="12.75"/>
    <row r="19" spans="1:2" ht="12.75">
      <c r="A19" s="88" t="s">
        <v>17</v>
      </c>
      <c r="B19" s="21" t="s">
        <v>18</v>
      </c>
    </row>
    <row r="20" spans="2:3" ht="12.75">
      <c r="B20" s="88" t="s">
        <v>19</v>
      </c>
      <c r="C20" s="4" t="s">
        <v>231</v>
      </c>
    </row>
    <row r="21" spans="2:4" ht="12.75">
      <c r="B21" s="88" t="s">
        <v>20</v>
      </c>
      <c r="C21" s="5">
        <v>10</v>
      </c>
      <c r="D21" s="21" t="s">
        <v>21</v>
      </c>
    </row>
    <row r="22" spans="2:8" ht="12.75">
      <c r="B22" s="88" t="s">
        <v>22</v>
      </c>
      <c r="C22" s="5">
        <v>0</v>
      </c>
      <c r="D22" s="21" t="s">
        <v>21</v>
      </c>
      <c r="G22" s="88"/>
      <c r="H22" s="6"/>
    </row>
    <row r="23" spans="1:8" ht="12.75">
      <c r="A23" s="89"/>
      <c r="B23" s="88" t="s">
        <v>23</v>
      </c>
      <c r="C23" s="7">
        <v>4</v>
      </c>
      <c r="D23" s="21" t="s">
        <v>21</v>
      </c>
      <c r="G23" s="88"/>
      <c r="H23" s="6"/>
    </row>
    <row r="24" spans="1:8" ht="12.75">
      <c r="A24" s="89"/>
      <c r="B24" s="88" t="s">
        <v>24</v>
      </c>
      <c r="C24" s="8">
        <f>$C$23/$C$21</f>
        <v>0.4</v>
      </c>
      <c r="G24" s="88"/>
      <c r="H24" s="6"/>
    </row>
    <row r="25" spans="2:4" ht="12.75">
      <c r="B25" s="88" t="s">
        <v>15</v>
      </c>
      <c r="C25" s="9">
        <f>VLOOKUP('Loading Calcs'!C20,rainfall!A2:B9,2)</f>
        <v>32</v>
      </c>
      <c r="D25" s="21" t="s">
        <v>25</v>
      </c>
    </row>
    <row r="26" spans="1:6" ht="15.75">
      <c r="A26" s="90"/>
      <c r="C26" s="84"/>
      <c r="E26" s="77"/>
      <c r="F26" s="80"/>
    </row>
    <row r="27" spans="1:5" ht="15.75">
      <c r="A27" s="90"/>
      <c r="B27" s="88" t="s">
        <v>11</v>
      </c>
      <c r="C27" s="6">
        <f>27.2*($C$23-$C$22)*$C$25</f>
        <v>3481.6</v>
      </c>
      <c r="D27" s="21" t="s">
        <v>26</v>
      </c>
      <c r="E27" s="91"/>
    </row>
    <row r="28" spans="1:6" ht="15.75">
      <c r="A28" s="91" t="s">
        <v>27</v>
      </c>
      <c r="E28" s="77"/>
      <c r="F28" s="80"/>
    </row>
    <row r="29" spans="1:6" ht="15.75">
      <c r="A29" s="79"/>
      <c r="B29" s="88"/>
      <c r="C29" s="6"/>
      <c r="E29" s="77"/>
      <c r="F29" s="80"/>
    </row>
    <row r="30" spans="2:6" ht="15.75">
      <c r="B30" s="88" t="s">
        <v>28</v>
      </c>
      <c r="C30" s="10" t="s">
        <v>3</v>
      </c>
      <c r="E30" s="77"/>
      <c r="F30" s="80"/>
    </row>
    <row r="31" spans="2:6" ht="15.75">
      <c r="B31" s="88"/>
      <c r="C31" s="92"/>
      <c r="E31" s="77"/>
      <c r="F31" s="80"/>
    </row>
    <row r="32" spans="1:6" ht="15.75">
      <c r="A32" s="79"/>
      <c r="E32" s="88"/>
      <c r="F32" s="80"/>
    </row>
    <row r="33" ht="12.75">
      <c r="A33" s="87" t="s">
        <v>240</v>
      </c>
    </row>
    <row r="34" ht="12.75">
      <c r="A34" s="79"/>
    </row>
    <row r="35" spans="2:3" ht="12.75">
      <c r="B35" s="77" t="s">
        <v>29</v>
      </c>
      <c r="C35" s="10" t="s">
        <v>3</v>
      </c>
    </row>
    <row r="36" ht="12.75">
      <c r="A36" s="89"/>
    </row>
    <row r="37" spans="2:4" ht="12.75">
      <c r="B37" s="88" t="s">
        <v>30</v>
      </c>
      <c r="C37" s="5">
        <v>10</v>
      </c>
      <c r="D37" s="21" t="s">
        <v>21</v>
      </c>
    </row>
    <row r="38" spans="2:7" ht="12.75">
      <c r="B38" s="88" t="s">
        <v>31</v>
      </c>
      <c r="C38" s="5">
        <v>0</v>
      </c>
      <c r="D38" s="21" t="s">
        <v>21</v>
      </c>
      <c r="F38" s="88"/>
      <c r="G38" s="6"/>
    </row>
    <row r="39" spans="1:7" ht="12.75">
      <c r="A39" s="89"/>
      <c r="B39" s="88" t="s">
        <v>32</v>
      </c>
      <c r="C39" s="11">
        <v>4</v>
      </c>
      <c r="D39" s="21" t="s">
        <v>21</v>
      </c>
      <c r="F39" s="88"/>
      <c r="G39" s="6"/>
    </row>
    <row r="40" spans="1:7" ht="12.75">
      <c r="A40" s="89"/>
      <c r="B40" s="88" t="s">
        <v>33</v>
      </c>
      <c r="C40" s="12">
        <f>$C$39/$C$37</f>
        <v>0.4</v>
      </c>
      <c r="F40" s="88"/>
      <c r="G40" s="6"/>
    </row>
    <row r="41" spans="1:7" ht="15.75">
      <c r="A41" s="89"/>
      <c r="B41" s="88" t="s">
        <v>34</v>
      </c>
      <c r="C41" s="6">
        <f>27.2*($C$39-$C$38)*$C$25</f>
        <v>3481.6</v>
      </c>
      <c r="D41" s="21" t="s">
        <v>26</v>
      </c>
      <c r="E41" s="91"/>
      <c r="G41" s="6"/>
    </row>
    <row r="42" spans="1:3" ht="12.75">
      <c r="A42" s="93"/>
      <c r="C42" s="13"/>
    </row>
    <row r="43" spans="1:3" ht="12.75">
      <c r="A43" s="87" t="s">
        <v>241</v>
      </c>
      <c r="B43" s="88"/>
      <c r="C43" s="13"/>
    </row>
    <row r="44" spans="2:3" ht="12.75">
      <c r="B44" s="88"/>
      <c r="C44" s="13"/>
    </row>
    <row r="45" spans="2:4" ht="12.75">
      <c r="B45" s="94" t="s">
        <v>35</v>
      </c>
      <c r="C45" s="71" t="s">
        <v>45</v>
      </c>
      <c r="D45" s="79"/>
    </row>
    <row r="46" spans="2:4" ht="12.75">
      <c r="B46" s="94" t="s">
        <v>37</v>
      </c>
      <c r="C46" s="6">
        <f>VLOOKUP(C45,bmps!A1:B13,2)</f>
        <v>89</v>
      </c>
      <c r="D46" s="79" t="s">
        <v>38</v>
      </c>
    </row>
    <row r="47" spans="2:6" ht="12.75">
      <c r="B47" s="94"/>
      <c r="C47" s="6"/>
      <c r="D47" s="79"/>
      <c r="F47" s="21" t="s">
        <v>234</v>
      </c>
    </row>
    <row r="48" ht="12.75">
      <c r="F48" s="21" t="s">
        <v>39</v>
      </c>
    </row>
    <row r="49" ht="12.75">
      <c r="F49" s="21" t="s">
        <v>40</v>
      </c>
    </row>
    <row r="50" spans="2:6" ht="12.75">
      <c r="B50" s="94"/>
      <c r="C50" s="6"/>
      <c r="D50" s="79"/>
      <c r="F50" s="21" t="s">
        <v>41</v>
      </c>
    </row>
    <row r="51" spans="2:6" ht="12.75">
      <c r="B51" s="94"/>
      <c r="C51" s="6"/>
      <c r="D51" s="79"/>
      <c r="F51" s="21" t="s">
        <v>42</v>
      </c>
    </row>
    <row r="52" ht="12.75">
      <c r="F52" s="21" t="s">
        <v>43</v>
      </c>
    </row>
    <row r="53" ht="12.75">
      <c r="F53" s="21" t="s">
        <v>44</v>
      </c>
    </row>
    <row r="54" ht="12.75">
      <c r="F54" s="21" t="s">
        <v>45</v>
      </c>
    </row>
    <row r="55" ht="12.75">
      <c r="F55" s="21" t="s">
        <v>252</v>
      </c>
    </row>
    <row r="56" ht="12.75">
      <c r="F56" s="21" t="s">
        <v>235</v>
      </c>
    </row>
    <row r="57" ht="12.75">
      <c r="F57" s="21" t="s">
        <v>253</v>
      </c>
    </row>
    <row r="58" ht="12.75">
      <c r="F58" s="21" t="s">
        <v>46</v>
      </c>
    </row>
    <row r="59" ht="12.75">
      <c r="F59" s="21" t="s">
        <v>47</v>
      </c>
    </row>
    <row r="60" spans="1:3" ht="15.75">
      <c r="A60" s="87" t="s">
        <v>250</v>
      </c>
      <c r="B60" s="88"/>
      <c r="C60" s="14"/>
    </row>
    <row r="61" spans="1:10" ht="12.75">
      <c r="A61" s="79"/>
      <c r="B61" s="94"/>
      <c r="C61" s="14"/>
      <c r="D61" s="79"/>
      <c r="E61" s="79"/>
      <c r="F61" s="79"/>
      <c r="J61" s="79"/>
    </row>
    <row r="62" spans="1:10" ht="15.75">
      <c r="A62" s="79"/>
      <c r="B62" s="95" t="s">
        <v>48</v>
      </c>
      <c r="C62" s="79" t="s">
        <v>49</v>
      </c>
      <c r="D62" s="79"/>
      <c r="E62" s="79"/>
      <c r="F62" s="79"/>
      <c r="J62" s="79"/>
    </row>
    <row r="63" spans="1:10" ht="12.75">
      <c r="A63" s="79"/>
      <c r="B63" s="94"/>
      <c r="C63" s="14"/>
      <c r="D63" s="79"/>
      <c r="E63" s="79"/>
      <c r="F63" s="79"/>
      <c r="J63" s="79"/>
    </row>
    <row r="64" spans="1:10" ht="15.75">
      <c r="A64" s="94" t="s">
        <v>10</v>
      </c>
      <c r="B64" s="88" t="s">
        <v>50</v>
      </c>
      <c r="C64" s="96" t="s">
        <v>51</v>
      </c>
      <c r="D64" s="79"/>
      <c r="E64" s="79"/>
      <c r="F64" s="79"/>
      <c r="G64" s="79"/>
      <c r="H64" s="79"/>
      <c r="I64" s="79"/>
      <c r="J64" s="79"/>
    </row>
    <row r="65" spans="1:10" ht="15.75">
      <c r="A65" s="94"/>
      <c r="B65" s="94" t="s">
        <v>52</v>
      </c>
      <c r="C65" s="97" t="s">
        <v>53</v>
      </c>
      <c r="D65" s="79"/>
      <c r="E65" s="79"/>
      <c r="F65" s="79"/>
      <c r="G65" s="79"/>
      <c r="H65" s="79"/>
      <c r="I65" s="79"/>
      <c r="J65" s="79"/>
    </row>
    <row r="66" spans="1:10" ht="15.75">
      <c r="A66" s="94"/>
      <c r="B66" s="94" t="s">
        <v>54</v>
      </c>
      <c r="C66" s="97" t="s">
        <v>55</v>
      </c>
      <c r="D66" s="79"/>
      <c r="E66" s="79"/>
      <c r="F66" s="79"/>
      <c r="G66" s="79"/>
      <c r="H66" s="79"/>
      <c r="I66" s="79"/>
      <c r="J66" s="79"/>
    </row>
    <row r="67" spans="1:10" ht="15.75">
      <c r="A67" s="94"/>
      <c r="B67" s="94" t="s">
        <v>56</v>
      </c>
      <c r="C67" s="79" t="s">
        <v>57</v>
      </c>
      <c r="D67" s="79"/>
      <c r="E67" s="79"/>
      <c r="F67" s="79"/>
      <c r="G67" s="79"/>
      <c r="H67" s="79"/>
      <c r="I67" s="79"/>
      <c r="J67" s="79"/>
    </row>
    <row r="68" spans="1:10" ht="12.75">
      <c r="A68" s="94"/>
      <c r="G68" s="79"/>
      <c r="H68" s="79"/>
      <c r="I68" s="79"/>
      <c r="J68" s="79"/>
    </row>
    <row r="69" spans="1:10" ht="15.75">
      <c r="A69" s="94"/>
      <c r="B69" s="88" t="s">
        <v>50</v>
      </c>
      <c r="C69" s="5">
        <v>10</v>
      </c>
      <c r="D69" s="79" t="s">
        <v>21</v>
      </c>
      <c r="E69" s="79"/>
      <c r="F69" s="79"/>
      <c r="G69" s="79"/>
      <c r="H69" s="79"/>
      <c r="I69" s="79"/>
      <c r="J69" s="79"/>
    </row>
    <row r="70" spans="1:10" ht="15.75">
      <c r="A70" s="94"/>
      <c r="B70" s="94" t="s">
        <v>52</v>
      </c>
      <c r="C70" s="5">
        <v>4</v>
      </c>
      <c r="D70" s="79" t="s">
        <v>21</v>
      </c>
      <c r="E70" s="79"/>
      <c r="F70" s="79"/>
      <c r="G70" s="79"/>
      <c r="H70" s="79"/>
      <c r="I70" s="79"/>
      <c r="J70" s="79"/>
    </row>
    <row r="71" spans="1:10" ht="15.75">
      <c r="A71" s="94"/>
      <c r="B71" s="94" t="s">
        <v>54</v>
      </c>
      <c r="C71" s="14">
        <f>+$C$69-$C$70</f>
        <v>6</v>
      </c>
      <c r="D71" s="79" t="s">
        <v>21</v>
      </c>
      <c r="E71" s="79"/>
      <c r="F71" s="79"/>
      <c r="G71" s="79"/>
      <c r="H71" s="79"/>
      <c r="I71" s="79"/>
      <c r="J71" s="79"/>
    </row>
    <row r="72" spans="1:10" ht="15.75">
      <c r="A72" s="94"/>
      <c r="B72" s="94" t="s">
        <v>56</v>
      </c>
      <c r="C72" s="6">
        <f>($C$46/100)*$C$25*($C$70*34.6+$C$71*0.54)</f>
        <v>4033.9072000000006</v>
      </c>
      <c r="D72" s="79" t="s">
        <v>58</v>
      </c>
      <c r="E72" s="91"/>
      <c r="F72" s="79"/>
      <c r="G72" s="79"/>
      <c r="H72" s="79"/>
      <c r="I72" s="79"/>
      <c r="J72" s="79"/>
    </row>
    <row r="73" spans="1:10" ht="12.75">
      <c r="A73" s="94"/>
      <c r="E73" s="91"/>
      <c r="F73" s="79"/>
      <c r="G73" s="79"/>
      <c r="H73" s="79"/>
      <c r="I73" s="79"/>
      <c r="J73" s="79"/>
    </row>
    <row r="74" spans="1:10" ht="12.75">
      <c r="A74" s="94"/>
      <c r="E74" s="91"/>
      <c r="F74" s="79"/>
      <c r="G74" s="79"/>
      <c r="H74" s="79"/>
      <c r="I74" s="79"/>
      <c r="J74" s="79"/>
    </row>
    <row r="75" spans="1:10" ht="12.75">
      <c r="A75" s="94"/>
      <c r="E75" s="91"/>
      <c r="F75" s="79"/>
      <c r="G75" s="79"/>
      <c r="H75" s="79"/>
      <c r="I75" s="79"/>
      <c r="J75" s="79"/>
    </row>
    <row r="76" spans="1:10" ht="12.75">
      <c r="A76" s="98" t="s">
        <v>59</v>
      </c>
      <c r="C76" s="94"/>
      <c r="D76" s="94"/>
      <c r="E76" s="79"/>
      <c r="F76" s="79"/>
      <c r="G76" s="79"/>
      <c r="H76" s="79"/>
      <c r="I76" s="79"/>
      <c r="J76" s="79"/>
    </row>
    <row r="77" spans="1:10" ht="12.75">
      <c r="A77" s="98"/>
      <c r="E77" s="79"/>
      <c r="F77" s="79"/>
      <c r="G77" s="79"/>
      <c r="H77" s="79"/>
      <c r="I77" s="79"/>
      <c r="J77" s="79"/>
    </row>
    <row r="78" spans="1:10" ht="15.75">
      <c r="A78" s="94"/>
      <c r="B78" s="88" t="s">
        <v>236</v>
      </c>
      <c r="C78" s="72">
        <v>3482</v>
      </c>
      <c r="D78" s="21" t="s">
        <v>26</v>
      </c>
      <c r="E78" s="91"/>
      <c r="F78" s="79"/>
      <c r="G78" s="79"/>
      <c r="H78" s="79"/>
      <c r="I78" s="79"/>
      <c r="J78" s="79"/>
    </row>
    <row r="79" spans="1:10" ht="12.75">
      <c r="A79" s="94"/>
      <c r="B79" s="88"/>
      <c r="C79" s="6"/>
      <c r="E79" s="79"/>
      <c r="F79" s="79"/>
      <c r="G79" s="79"/>
      <c r="H79" s="79"/>
      <c r="I79" s="79"/>
      <c r="J79" s="79"/>
    </row>
    <row r="80" spans="1:10" ht="15">
      <c r="A80" s="87"/>
      <c r="B80" s="94" t="s">
        <v>60</v>
      </c>
      <c r="C80" s="14">
        <f>$C$78/$C$72</f>
        <v>0.8631829705948614</v>
      </c>
      <c r="E80" s="99"/>
      <c r="F80" s="100"/>
      <c r="G80" s="100"/>
      <c r="H80" s="100"/>
      <c r="I80" s="100"/>
      <c r="J80" s="79"/>
    </row>
    <row r="81" spans="1:10" ht="12.75">
      <c r="A81" s="87"/>
      <c r="B81" s="94"/>
      <c r="C81" s="14"/>
      <c r="E81" s="91"/>
      <c r="F81" s="100"/>
      <c r="G81" s="100"/>
      <c r="H81" s="100"/>
      <c r="I81" s="100"/>
      <c r="J81" s="79"/>
    </row>
    <row r="82" spans="1:10" ht="12.75">
      <c r="A82" s="87" t="s">
        <v>61</v>
      </c>
      <c r="B82" s="94"/>
      <c r="E82" s="84" t="s">
        <v>6</v>
      </c>
      <c r="F82" s="79"/>
      <c r="G82" s="84" t="s">
        <v>62</v>
      </c>
      <c r="H82" s="79"/>
      <c r="I82" s="79"/>
      <c r="J82" s="79"/>
    </row>
    <row r="83" spans="1:10" ht="12.75">
      <c r="A83" s="79"/>
      <c r="B83" s="94"/>
      <c r="F83" s="79"/>
      <c r="H83" s="79"/>
      <c r="I83" s="79"/>
      <c r="J83" s="79"/>
    </row>
    <row r="84" spans="1:10" ht="12.75">
      <c r="A84" s="79"/>
      <c r="B84" s="94"/>
      <c r="D84" s="79"/>
      <c r="E84" s="79"/>
      <c r="F84" s="79"/>
      <c r="G84" s="79"/>
      <c r="H84" s="79"/>
      <c r="I84" s="79"/>
      <c r="J84" s="79"/>
    </row>
    <row r="85" spans="1:10" ht="12.75">
      <c r="A85" s="79"/>
      <c r="B85" s="94" t="s">
        <v>63</v>
      </c>
      <c r="C85" s="14">
        <f>IF((VLOOKUP(ROUND(C80,2),rainfall!A13:B111,2))&lt;4.01,(VLOOKUP(ROUND(C80,2),rainfall!A13:B111,2)),"Error")</f>
        <v>1.38</v>
      </c>
      <c r="D85" s="79" t="s">
        <v>25</v>
      </c>
      <c r="E85" s="79"/>
      <c r="F85" s="79"/>
      <c r="G85" s="79"/>
      <c r="H85" s="79"/>
      <c r="I85" s="79"/>
      <c r="J85" s="79"/>
    </row>
    <row r="86" spans="1:10" ht="12.75">
      <c r="A86" s="79"/>
      <c r="B86" s="88" t="s">
        <v>64</v>
      </c>
      <c r="C86" s="14">
        <f>IF($C$70/$C$69&lt;0.84448,1.72*($C$70/$C$69)^3-1.97*($C$70/$C$69)^2+1.23*($C$70/$C$69)+0.02,0.002088+0.8142*($C$70/$C$69))</f>
        <v>0.30688</v>
      </c>
      <c r="E86" s="91"/>
      <c r="F86" s="79"/>
      <c r="G86" s="79"/>
      <c r="H86" s="79"/>
      <c r="I86" s="79"/>
      <c r="J86" s="79"/>
    </row>
    <row r="87" spans="1:10" ht="12.75">
      <c r="A87" s="79"/>
      <c r="B87" s="94" t="s">
        <v>65</v>
      </c>
      <c r="C87" s="6">
        <f>($C$70+$C$71)*$C$85*$C$86*43560/12</f>
        <v>15372.84672</v>
      </c>
      <c r="D87" s="79" t="s">
        <v>66</v>
      </c>
      <c r="E87" s="79"/>
      <c r="F87" s="79"/>
      <c r="G87" s="79"/>
      <c r="H87" s="79"/>
      <c r="I87" s="79"/>
      <c r="J87" s="79"/>
    </row>
    <row r="88" spans="1:10" ht="12.75">
      <c r="A88" s="79"/>
      <c r="B88" s="94"/>
      <c r="C88" s="6"/>
      <c r="D88" s="79"/>
      <c r="E88" s="79"/>
      <c r="F88" s="79"/>
      <c r="G88" s="79"/>
      <c r="H88" s="79"/>
      <c r="I88" s="79"/>
      <c r="J88" s="79"/>
    </row>
    <row r="89" spans="2:10" ht="12.75">
      <c r="B89" s="101"/>
      <c r="C89" s="6"/>
      <c r="D89" s="79"/>
      <c r="E89" s="79"/>
      <c r="F89" s="79"/>
      <c r="G89" s="79"/>
      <c r="H89" s="79"/>
      <c r="I89" s="79"/>
      <c r="J89" s="79"/>
    </row>
    <row r="90" spans="1:10" ht="12.75">
      <c r="A90" s="79"/>
      <c r="B90" s="101"/>
      <c r="C90" s="84" t="s">
        <v>6</v>
      </c>
      <c r="D90" s="79"/>
      <c r="E90" s="84" t="s">
        <v>67</v>
      </c>
      <c r="F90" s="79"/>
      <c r="G90" s="79"/>
      <c r="H90" s="79"/>
      <c r="I90" s="79"/>
      <c r="J90" s="79"/>
    </row>
    <row r="91" spans="1:10" ht="12.75">
      <c r="A91" s="79"/>
      <c r="B91" s="94"/>
      <c r="D91" s="79"/>
      <c r="E91" s="79"/>
      <c r="F91" s="79"/>
      <c r="G91" s="79"/>
      <c r="H91" s="79"/>
      <c r="I91" s="79"/>
      <c r="J91" s="79"/>
    </row>
    <row r="92" spans="1:10" ht="12.75">
      <c r="A92" s="79"/>
      <c r="B92" s="94" t="s">
        <v>68</v>
      </c>
      <c r="C92" s="5">
        <v>0</v>
      </c>
      <c r="D92" s="79" t="s">
        <v>21</v>
      </c>
      <c r="E92" s="102"/>
      <c r="F92" s="79"/>
      <c r="H92" s="79"/>
      <c r="I92" s="79"/>
      <c r="J92" s="79"/>
    </row>
    <row r="93" spans="1:10" ht="12.75">
      <c r="A93" s="79"/>
      <c r="B93" s="94" t="s">
        <v>69</v>
      </c>
      <c r="C93" s="5">
        <v>0</v>
      </c>
      <c r="D93" s="79" t="s">
        <v>21</v>
      </c>
      <c r="E93" s="102"/>
      <c r="F93" s="79"/>
      <c r="G93" s="79"/>
      <c r="H93" s="79"/>
      <c r="I93" s="79"/>
      <c r="J93" s="79"/>
    </row>
    <row r="94" spans="1:10" ht="12.75">
      <c r="A94" s="79"/>
      <c r="B94" s="94" t="s">
        <v>70</v>
      </c>
      <c r="C94" s="15" t="str">
        <f>IF($C$92=0,"0",($C$93/$C$92))</f>
        <v>0</v>
      </c>
      <c r="F94" s="79"/>
      <c r="G94" s="79"/>
      <c r="H94" s="79"/>
      <c r="I94" s="79"/>
      <c r="J94" s="79"/>
    </row>
    <row r="95" spans="1:10" ht="12.75">
      <c r="A95" s="79"/>
      <c r="B95" s="88" t="s">
        <v>71</v>
      </c>
      <c r="C95" s="14">
        <f>IF($C$94&lt;0.84448,1.72*($C$94)^3-1.97*($C$94)^2+1.23*($C$94)+0.02,0.002088+0.8142*($C$94))</f>
        <v>0.002088</v>
      </c>
      <c r="E95" s="91"/>
      <c r="F95" s="79"/>
      <c r="G95" s="79"/>
      <c r="H95" s="79"/>
      <c r="I95" s="79"/>
      <c r="J95" s="79"/>
    </row>
    <row r="96" spans="1:10" ht="12.75">
      <c r="A96" s="79"/>
      <c r="B96" s="88" t="s">
        <v>72</v>
      </c>
      <c r="C96" s="6">
        <f>($C$92*$C$95*$C$85*43560)/12</f>
        <v>0</v>
      </c>
      <c r="D96" s="21" t="s">
        <v>66</v>
      </c>
      <c r="E96" s="79"/>
      <c r="F96" s="79"/>
      <c r="G96" s="79"/>
      <c r="H96" s="79"/>
      <c r="I96" s="79"/>
      <c r="J96" s="79"/>
    </row>
    <row r="97" spans="1:10" ht="12.75">
      <c r="A97" s="79"/>
      <c r="B97" s="94"/>
      <c r="C97" s="6"/>
      <c r="D97" s="79"/>
      <c r="E97" s="79"/>
      <c r="F97" s="79"/>
      <c r="G97" s="79"/>
      <c r="H97" s="79"/>
      <c r="I97" s="79"/>
      <c r="J97" s="79"/>
    </row>
    <row r="98" spans="1:3" ht="15">
      <c r="A98" s="90"/>
      <c r="B98" s="94" t="s">
        <v>73</v>
      </c>
      <c r="C98" s="6">
        <f>0.2*($C$87+$C$96)</f>
        <v>3074.569344</v>
      </c>
    </row>
    <row r="99" spans="1:4" ht="15">
      <c r="A99" s="90"/>
      <c r="B99" s="103" t="s">
        <v>74</v>
      </c>
      <c r="C99" s="6">
        <f>$C$98+$C$87+$C$96</f>
        <v>18447.416064</v>
      </c>
      <c r="D99" s="21" t="s">
        <v>66</v>
      </c>
    </row>
    <row r="100" spans="1:3" ht="12.75">
      <c r="A100" s="91" t="s">
        <v>75</v>
      </c>
      <c r="B100" s="103"/>
      <c r="C100" s="6"/>
    </row>
    <row r="101" spans="1:3" ht="12.75">
      <c r="A101" s="91" t="s">
        <v>307</v>
      </c>
      <c r="B101" s="103"/>
      <c r="C101" s="6"/>
    </row>
    <row r="102" spans="1:6" ht="12.75">
      <c r="A102" s="87" t="s">
        <v>76</v>
      </c>
      <c r="C102" s="84" t="s">
        <v>77</v>
      </c>
      <c r="F102" s="84" t="s">
        <v>78</v>
      </c>
    </row>
    <row r="103" ht="12.75">
      <c r="A103" s="79"/>
    </row>
    <row r="104" spans="1:7" ht="12.75">
      <c r="A104" s="79"/>
      <c r="B104" s="88" t="s">
        <v>79</v>
      </c>
      <c r="C104" s="6" t="str">
        <f>IF($C$45="Retention / Irrigation",$C$99,"NA")</f>
        <v>NA</v>
      </c>
      <c r="D104" s="21" t="s">
        <v>66</v>
      </c>
      <c r="G104" s="84"/>
    </row>
    <row r="105" spans="1:7" ht="12.75">
      <c r="A105" s="79"/>
      <c r="G105" s="84"/>
    </row>
    <row r="106" spans="1:2" ht="12.75">
      <c r="A106" s="79"/>
      <c r="B106" s="21" t="s">
        <v>80</v>
      </c>
    </row>
    <row r="107" ht="12.75">
      <c r="A107" s="79"/>
    </row>
    <row r="108" spans="2:5" ht="12.75">
      <c r="B108" s="103" t="s">
        <v>81</v>
      </c>
      <c r="C108" s="4">
        <v>0.1</v>
      </c>
      <c r="D108" s="21" t="s">
        <v>82</v>
      </c>
      <c r="E108" s="91" t="s">
        <v>83</v>
      </c>
    </row>
    <row r="109" spans="2:4" ht="12.75">
      <c r="B109" s="103" t="s">
        <v>84</v>
      </c>
      <c r="C109" s="6" t="str">
        <f>IF($C$45="Retention / Irrigation",(12*$C$99)/(30*$C$108),"NA")</f>
        <v>NA</v>
      </c>
      <c r="D109" s="21" t="s">
        <v>85</v>
      </c>
    </row>
    <row r="110" spans="3:4" ht="12.75">
      <c r="C110" s="14" t="str">
        <f>IF($C$45="Retention / Irrigation",$C$109/43560,"NA")</f>
        <v>NA</v>
      </c>
      <c r="D110" s="21" t="s">
        <v>21</v>
      </c>
    </row>
    <row r="111" ht="12.75">
      <c r="C111" s="14"/>
    </row>
    <row r="112" ht="12.75">
      <c r="C112" s="14"/>
    </row>
    <row r="113" spans="1:6" ht="12.75">
      <c r="A113" s="87" t="s">
        <v>86</v>
      </c>
      <c r="C113" s="84" t="s">
        <v>77</v>
      </c>
      <c r="F113" s="84" t="s">
        <v>87</v>
      </c>
    </row>
    <row r="114" spans="3:7" ht="12.75">
      <c r="C114" s="14"/>
      <c r="G114" s="84"/>
    </row>
    <row r="115" spans="2:4" ht="12.75">
      <c r="B115" s="88" t="s">
        <v>88</v>
      </c>
      <c r="C115" s="6" t="str">
        <f>IF($C$45="Extended Detention",$C$99,"NA")</f>
        <v>NA</v>
      </c>
      <c r="D115" s="21" t="s">
        <v>66</v>
      </c>
    </row>
    <row r="116" ht="12.75">
      <c r="C116" s="14"/>
    </row>
    <row r="117" ht="12.75">
      <c r="A117" s="79"/>
    </row>
    <row r="118" spans="1:6" ht="12.75">
      <c r="A118" s="87" t="s">
        <v>89</v>
      </c>
      <c r="C118" s="84" t="s">
        <v>77</v>
      </c>
      <c r="F118" s="84" t="s">
        <v>90</v>
      </c>
    </row>
    <row r="119" ht="12.75">
      <c r="A119" s="79"/>
    </row>
    <row r="120" ht="12.75">
      <c r="B120" s="87" t="s">
        <v>91</v>
      </c>
    </row>
    <row r="121" spans="1:2" ht="12.75">
      <c r="A121" s="79"/>
      <c r="B121" s="87"/>
    </row>
    <row r="122" spans="2:5" ht="12.75">
      <c r="B122" s="88" t="s">
        <v>92</v>
      </c>
      <c r="C122" s="6">
        <f>IF($C$45="Sand Filter",$C$99,"NA")</f>
        <v>18447.416064</v>
      </c>
      <c r="D122" s="21" t="s">
        <v>66</v>
      </c>
      <c r="E122" s="91"/>
    </row>
    <row r="123" spans="2:3" ht="12.75">
      <c r="B123" s="88"/>
      <c r="C123" s="6"/>
    </row>
    <row r="124" spans="2:4" ht="12.75">
      <c r="B124" s="88" t="s">
        <v>93</v>
      </c>
      <c r="C124" s="6">
        <f>IF($C$45="Sand Filter",$C$87/18,"NA")</f>
        <v>854.0470399999999</v>
      </c>
      <c r="D124" s="21" t="s">
        <v>85</v>
      </c>
    </row>
    <row r="125" spans="1:2" ht="12.75">
      <c r="A125" s="79"/>
      <c r="B125" s="87"/>
    </row>
    <row r="126" spans="1:5" ht="12.75">
      <c r="A126" s="79"/>
      <c r="B126" s="88" t="s">
        <v>94</v>
      </c>
      <c r="C126" s="6">
        <f>IF($C$45="Sand Filter",$C$87/2,"NA")</f>
        <v>7686.42336</v>
      </c>
      <c r="D126" s="21" t="s">
        <v>85</v>
      </c>
      <c r="E126" s="91" t="s">
        <v>95</v>
      </c>
    </row>
    <row r="127" spans="1:5" ht="12.75">
      <c r="A127" s="79"/>
      <c r="B127" s="88" t="s">
        <v>96</v>
      </c>
      <c r="C127" s="6">
        <f>IF($C$45="Sand Filter",$C$87/8,"NA")</f>
        <v>1921.60584</v>
      </c>
      <c r="D127" s="21" t="s">
        <v>85</v>
      </c>
      <c r="E127" s="91" t="s">
        <v>97</v>
      </c>
    </row>
    <row r="128" spans="1:3" ht="12.75">
      <c r="A128" s="79"/>
      <c r="B128" s="88"/>
      <c r="C128" s="6"/>
    </row>
    <row r="129" spans="1:3" ht="12.75">
      <c r="A129" s="79"/>
      <c r="B129" s="88"/>
      <c r="C129" s="6"/>
    </row>
    <row r="130" ht="12.75">
      <c r="B130" s="87" t="s">
        <v>98</v>
      </c>
    </row>
    <row r="131" spans="2:3" ht="12.75">
      <c r="B131" s="88"/>
      <c r="C131" s="6"/>
    </row>
    <row r="132" spans="2:5" ht="12.75">
      <c r="B132" s="88" t="s">
        <v>99</v>
      </c>
      <c r="C132" s="6">
        <f>IF($C$45="Sand Filter",$C$99,"NA")</f>
        <v>18447.416064</v>
      </c>
      <c r="D132" s="21" t="s">
        <v>66</v>
      </c>
      <c r="E132" s="91"/>
    </row>
    <row r="133" spans="2:5" ht="12.75">
      <c r="B133" s="88"/>
      <c r="C133" s="6"/>
      <c r="E133" s="89"/>
    </row>
    <row r="134" spans="2:5" ht="12.75">
      <c r="B134" s="88" t="s">
        <v>93</v>
      </c>
      <c r="C134" s="6">
        <f>IF($C$45="Sand Filter",$C$87/10,"NA")</f>
        <v>1537.284672</v>
      </c>
      <c r="D134" s="21" t="s">
        <v>85</v>
      </c>
      <c r="E134" s="89"/>
    </row>
    <row r="135" spans="2:3" ht="12.75">
      <c r="B135" s="88"/>
      <c r="C135" s="6"/>
    </row>
    <row r="136" spans="1:5" ht="12.75">
      <c r="A136" s="79"/>
      <c r="B136" s="88" t="s">
        <v>94</v>
      </c>
      <c r="C136" s="6">
        <f>IF($C$45="Sand Filter",$C$87/2-$C$134,"NA")</f>
        <v>6149.138688</v>
      </c>
      <c r="D136" s="21" t="s">
        <v>85</v>
      </c>
      <c r="E136" s="91" t="s">
        <v>95</v>
      </c>
    </row>
    <row r="137" spans="1:5" ht="12.75">
      <c r="A137" s="79"/>
      <c r="B137" s="88" t="s">
        <v>96</v>
      </c>
      <c r="C137" s="6">
        <f>IF($C$45="Sand Filter",$C$87/8-$C$134,"NA")</f>
        <v>384.32116799999994</v>
      </c>
      <c r="D137" s="21" t="s">
        <v>85</v>
      </c>
      <c r="E137" s="91" t="s">
        <v>97</v>
      </c>
    </row>
    <row r="138" spans="2:3" ht="12.75">
      <c r="B138" s="88"/>
      <c r="C138" s="6"/>
    </row>
    <row r="139" spans="2:5" ht="12.75">
      <c r="B139" s="88"/>
      <c r="C139" s="6"/>
      <c r="E139" s="89"/>
    </row>
    <row r="140" spans="1:6" ht="12.75">
      <c r="A140" s="87" t="s">
        <v>100</v>
      </c>
      <c r="C140" s="84" t="s">
        <v>77</v>
      </c>
      <c r="F140" s="84" t="s">
        <v>101</v>
      </c>
    </row>
    <row r="141" ht="12.75">
      <c r="A141" s="79"/>
    </row>
    <row r="142" spans="2:4" ht="12.75">
      <c r="B142" s="88" t="s">
        <v>102</v>
      </c>
      <c r="C142" s="6" t="str">
        <f>IF($C$45="Bioretention",$C$99,"NA")</f>
        <v>NA</v>
      </c>
      <c r="D142" s="21" t="s">
        <v>66</v>
      </c>
    </row>
    <row r="143" ht="12.75">
      <c r="A143" s="79"/>
    </row>
    <row r="144" spans="2:5" ht="12.75">
      <c r="B144" s="88"/>
      <c r="C144" s="6"/>
      <c r="E144" s="89"/>
    </row>
    <row r="145" spans="1:6" ht="12.75">
      <c r="A145" s="87" t="s">
        <v>103</v>
      </c>
      <c r="C145" s="84" t="s">
        <v>77</v>
      </c>
      <c r="F145" s="84" t="s">
        <v>104</v>
      </c>
    </row>
    <row r="146" ht="12.75"/>
    <row r="147" spans="2:5" ht="12.75">
      <c r="B147" s="88" t="s">
        <v>105</v>
      </c>
      <c r="C147" s="6" t="str">
        <f>IF($C$45="Wet Basin",$C$99,"NA")</f>
        <v>NA</v>
      </c>
      <c r="D147" s="21" t="s">
        <v>66</v>
      </c>
      <c r="E147" s="91" t="s">
        <v>106</v>
      </c>
    </row>
    <row r="148" spans="2:5" ht="12.75">
      <c r="B148" s="88" t="s">
        <v>107</v>
      </c>
      <c r="C148" s="6" t="str">
        <f>IF($C$45="Wet Basin",$C$87+$C$99,"NA")</f>
        <v>NA</v>
      </c>
      <c r="D148" s="21" t="s">
        <v>66</v>
      </c>
      <c r="E148" s="91" t="s">
        <v>108</v>
      </c>
    </row>
    <row r="149" ht="12.75">
      <c r="E149" s="104" t="s">
        <v>244</v>
      </c>
    </row>
    <row r="150" ht="12.75"/>
    <row r="151" spans="1:6" ht="12.75">
      <c r="A151" s="87" t="s">
        <v>109</v>
      </c>
      <c r="C151" s="84" t="s">
        <v>77</v>
      </c>
      <c r="F151" s="84" t="s">
        <v>110</v>
      </c>
    </row>
    <row r="152" ht="12.75"/>
    <row r="153" ht="12.75">
      <c r="G153" s="84"/>
    </row>
    <row r="154" spans="2:4" ht="12.75">
      <c r="B154" s="88" t="s">
        <v>111</v>
      </c>
      <c r="C154" s="6" t="str">
        <f>IF($C$45="Constructed Wetland",$C$99,"NA")</f>
        <v>NA</v>
      </c>
      <c r="D154" s="21" t="s">
        <v>66</v>
      </c>
    </row>
    <row r="155" spans="2:3" ht="12.75">
      <c r="B155" s="88"/>
      <c r="C155" s="6"/>
    </row>
    <row r="156" ht="12.75"/>
    <row r="157" spans="1:6" ht="14.25">
      <c r="A157" s="87" t="s">
        <v>112</v>
      </c>
      <c r="C157" s="84" t="s">
        <v>77</v>
      </c>
      <c r="F157" s="84" t="s">
        <v>113</v>
      </c>
    </row>
    <row r="158" spans="1:7" ht="12.75">
      <c r="A158" s="79"/>
      <c r="G158" s="84"/>
    </row>
    <row r="159" spans="1:3" ht="14.25">
      <c r="A159" s="105" t="s">
        <v>306</v>
      </c>
      <c r="C159" s="14"/>
    </row>
    <row r="160" spans="1:2" ht="12.75">
      <c r="A160" s="79"/>
      <c r="B160" s="87"/>
    </row>
    <row r="161" spans="1:4" ht="12.75">
      <c r="A161" s="79"/>
      <c r="B161" s="88" t="s">
        <v>114</v>
      </c>
      <c r="C161" s="6" t="str">
        <f>IF($C$45="Aqualogic Cartridge Filter",$C$99,"NA")</f>
        <v>NA</v>
      </c>
      <c r="D161" s="21" t="s">
        <v>66</v>
      </c>
    </row>
    <row r="162" spans="1:4" ht="12.75">
      <c r="A162" s="79"/>
      <c r="B162" s="88" t="s">
        <v>116</v>
      </c>
      <c r="C162" s="14" t="str">
        <f>IF($C$45="Aqualogic Cartridge Filter",$C$99*7.48*0.000293*1.05,"NA")</f>
        <v>NA</v>
      </c>
      <c r="D162" s="21" t="s">
        <v>117</v>
      </c>
    </row>
    <row r="163" spans="1:4" ht="15.75">
      <c r="A163" s="79"/>
      <c r="B163" s="88" t="s">
        <v>115</v>
      </c>
      <c r="C163" s="14" t="str">
        <f>IF($C$45="Aqualogic Cartridge Filter",$C$162*2,"NA")</f>
        <v>NA</v>
      </c>
      <c r="D163" s="21" t="s">
        <v>85</v>
      </c>
    </row>
    <row r="164" spans="1:3" ht="12.75">
      <c r="A164" s="79"/>
      <c r="B164" s="88"/>
      <c r="C164" s="14"/>
    </row>
    <row r="165" spans="1:3" ht="12.75">
      <c r="A165" s="87" t="s">
        <v>118</v>
      </c>
      <c r="B165" s="88"/>
      <c r="C165" s="14"/>
    </row>
    <row r="166" spans="1:3" ht="12.75">
      <c r="A166" s="79"/>
      <c r="B166" s="88"/>
      <c r="C166" s="14"/>
    </row>
    <row r="167" spans="2:4" ht="12.75">
      <c r="B167" s="88" t="s">
        <v>119</v>
      </c>
      <c r="C167" s="6" t="str">
        <f>IF($C$45="Contech StormFilter",$C$99,"NA")</f>
        <v>NA</v>
      </c>
      <c r="D167" s="21" t="s">
        <v>66</v>
      </c>
    </row>
    <row r="168" spans="1:3" ht="12.75">
      <c r="A168" s="79"/>
      <c r="B168" s="88"/>
      <c r="C168" s="14"/>
    </row>
    <row r="169" ht="12.75">
      <c r="A169" s="79"/>
    </row>
    <row r="170" ht="12.75">
      <c r="A170" s="101" t="s">
        <v>242</v>
      </c>
    </row>
    <row r="171" ht="12.75">
      <c r="A171" s="79"/>
    </row>
    <row r="172" spans="1:19" ht="12.75">
      <c r="A172" s="87" t="s">
        <v>120</v>
      </c>
      <c r="B172" s="106"/>
      <c r="C172" s="84" t="s">
        <v>77</v>
      </c>
      <c r="F172" s="84" t="s">
        <v>121</v>
      </c>
      <c r="G172" s="84"/>
      <c r="R172" s="87"/>
      <c r="S172" s="107"/>
    </row>
    <row r="173" spans="1:19" ht="12.75">
      <c r="A173" s="79"/>
      <c r="B173" s="104"/>
      <c r="R173" s="87"/>
      <c r="S173" s="108"/>
    </row>
    <row r="174" spans="1:19" ht="12.75">
      <c r="A174" s="79"/>
      <c r="B174" s="109" t="s">
        <v>122</v>
      </c>
      <c r="E174" s="110"/>
      <c r="R174" s="87"/>
      <c r="S174" s="108"/>
    </row>
    <row r="175" spans="1:19" ht="12.75">
      <c r="A175" s="79"/>
      <c r="B175" s="79"/>
      <c r="E175" s="110"/>
      <c r="R175" s="87"/>
      <c r="S175" s="108"/>
    </row>
    <row r="176" spans="1:19" ht="12.75">
      <c r="A176" s="79"/>
      <c r="G176" s="84"/>
      <c r="R176" s="87"/>
      <c r="S176" s="108"/>
    </row>
    <row r="177" spans="1:19" ht="12.75">
      <c r="A177" s="79"/>
      <c r="B177" s="88" t="s">
        <v>123</v>
      </c>
      <c r="C177" s="16">
        <v>8</v>
      </c>
      <c r="D177" s="21" t="s">
        <v>21</v>
      </c>
      <c r="E177" s="91"/>
      <c r="G177" s="84"/>
      <c r="R177" s="87"/>
      <c r="S177" s="108"/>
    </row>
    <row r="178" spans="1:19" ht="12.75">
      <c r="A178" s="79"/>
      <c r="B178" s="88" t="s">
        <v>124</v>
      </c>
      <c r="C178" s="16">
        <v>4</v>
      </c>
      <c r="D178" s="21" t="s">
        <v>21</v>
      </c>
      <c r="G178" s="84"/>
      <c r="R178" s="87"/>
      <c r="S178" s="108"/>
    </row>
    <row r="179" spans="1:19" ht="12.75">
      <c r="A179" s="79"/>
      <c r="B179" s="88" t="s">
        <v>125</v>
      </c>
      <c r="C179" s="21">
        <v>1.1</v>
      </c>
      <c r="D179" s="21" t="s">
        <v>82</v>
      </c>
      <c r="G179" s="84"/>
      <c r="R179" s="87"/>
      <c r="S179" s="108"/>
    </row>
    <row r="180" spans="1:19" ht="12.75">
      <c r="A180" s="79"/>
      <c r="B180" s="88" t="s">
        <v>126</v>
      </c>
      <c r="C180" s="17">
        <v>0.01</v>
      </c>
      <c r="D180" s="21" t="s">
        <v>127</v>
      </c>
      <c r="E180" s="91"/>
      <c r="G180" s="84"/>
      <c r="R180" s="87"/>
      <c r="S180" s="108"/>
    </row>
    <row r="181" spans="1:19" ht="12.75">
      <c r="A181" s="79"/>
      <c r="B181" s="88" t="s">
        <v>128</v>
      </c>
      <c r="C181" s="17">
        <v>3</v>
      </c>
      <c r="E181" s="104"/>
      <c r="G181" s="84"/>
      <c r="R181" s="87"/>
      <c r="S181" s="108"/>
    </row>
    <row r="182" spans="1:19" ht="12.75">
      <c r="A182" s="79"/>
      <c r="B182" s="88" t="s">
        <v>129</v>
      </c>
      <c r="C182" s="16">
        <v>0.33333333</v>
      </c>
      <c r="D182" s="21" t="s">
        <v>130</v>
      </c>
      <c r="G182" s="84"/>
      <c r="R182" s="87"/>
      <c r="S182" s="108"/>
    </row>
    <row r="183" spans="1:19" ht="12.75">
      <c r="A183" s="79"/>
      <c r="B183" s="88" t="s">
        <v>131</v>
      </c>
      <c r="C183" s="19">
        <f>($C$178/$C$177)*0.74+(1-$C$178/$C$177)*0.33</f>
        <v>0.535</v>
      </c>
      <c r="G183" s="84"/>
      <c r="R183" s="87"/>
      <c r="S183" s="108"/>
    </row>
    <row r="184" spans="1:19" ht="12.75">
      <c r="A184" s="79"/>
      <c r="B184" s="88"/>
      <c r="C184" s="19"/>
      <c r="G184" s="84"/>
      <c r="R184" s="87"/>
      <c r="S184" s="108"/>
    </row>
    <row r="185" spans="1:19" ht="12.75">
      <c r="A185" s="93"/>
      <c r="B185" s="107"/>
      <c r="C185" s="19"/>
      <c r="E185" s="91"/>
      <c r="G185" s="84"/>
      <c r="R185" s="87"/>
      <c r="S185" s="108"/>
    </row>
    <row r="186" spans="1:19" ht="15.75">
      <c r="A186" s="93"/>
      <c r="B186" s="88" t="s">
        <v>132</v>
      </c>
      <c r="C186" s="19">
        <f>(($C$182)^2*$C$181)+($C$182*$C$198)</f>
        <v>13.170810344913164</v>
      </c>
      <c r="D186" s="21" t="s">
        <v>36</v>
      </c>
      <c r="E186" s="91"/>
      <c r="G186" s="84"/>
      <c r="R186" s="87"/>
      <c r="S186" s="108"/>
    </row>
    <row r="187" spans="1:19" ht="15.75">
      <c r="A187" s="93"/>
      <c r="B187" s="88" t="s">
        <v>133</v>
      </c>
      <c r="C187" s="19">
        <f>2*($C$182^2*$C$181^2+$C$182^2)^0.5+$C$198</f>
        <v>40.62061652556088</v>
      </c>
      <c r="D187" s="21" t="s">
        <v>134</v>
      </c>
      <c r="E187" s="91"/>
      <c r="G187" s="84"/>
      <c r="R187" s="87"/>
      <c r="S187" s="108"/>
    </row>
    <row r="188" spans="1:19" ht="15.75">
      <c r="A188" s="93"/>
      <c r="B188" s="88" t="s">
        <v>135</v>
      </c>
      <c r="C188" s="19">
        <f>$C$186/$C$187</f>
        <v>0.32423954807838323</v>
      </c>
      <c r="D188" s="21" t="s">
        <v>136</v>
      </c>
      <c r="E188" s="91"/>
      <c r="G188" s="84"/>
      <c r="R188" s="87"/>
      <c r="S188" s="108"/>
    </row>
    <row r="189" spans="1:19" ht="12.75">
      <c r="A189" s="93"/>
      <c r="B189" s="88" t="s">
        <v>137</v>
      </c>
      <c r="C189" s="21">
        <v>0.2</v>
      </c>
      <c r="E189" s="91"/>
      <c r="G189" s="84"/>
      <c r="R189" s="87"/>
      <c r="S189" s="108"/>
    </row>
    <row r="190" spans="1:19" ht="12.75">
      <c r="A190" s="93"/>
      <c r="B190" s="88"/>
      <c r="E190" s="91"/>
      <c r="G190" s="84"/>
      <c r="R190" s="87"/>
      <c r="S190" s="108"/>
    </row>
    <row r="191" spans="1:19" ht="12.75">
      <c r="A191" s="87" t="s">
        <v>138</v>
      </c>
      <c r="B191" s="88"/>
      <c r="C191" s="113"/>
      <c r="G191" s="84"/>
      <c r="R191" s="87"/>
      <c r="S191" s="108"/>
    </row>
    <row r="192" spans="1:19" ht="12.75">
      <c r="A192" s="79"/>
      <c r="B192" s="88"/>
      <c r="C192" s="113"/>
      <c r="G192" s="84"/>
      <c r="R192" s="87"/>
      <c r="S192" s="108"/>
    </row>
    <row r="193" spans="1:19" ht="12.75">
      <c r="A193" s="79"/>
      <c r="C193" s="84"/>
      <c r="E193" s="110"/>
      <c r="G193" s="84"/>
      <c r="R193" s="87"/>
      <c r="S193" s="108"/>
    </row>
    <row r="194" spans="1:5" ht="15.75">
      <c r="A194" s="79"/>
      <c r="B194" s="94" t="s">
        <v>139</v>
      </c>
      <c r="E194" s="110"/>
    </row>
    <row r="195" spans="1:2" ht="12.75">
      <c r="A195" s="79"/>
      <c r="B195" s="96" t="s">
        <v>140</v>
      </c>
    </row>
    <row r="196" spans="1:2" ht="12.75">
      <c r="A196" s="79"/>
      <c r="B196" s="96"/>
    </row>
    <row r="197" ht="12.75">
      <c r="A197" s="79"/>
    </row>
    <row r="198" spans="1:5" ht="23.25">
      <c r="A198" s="79"/>
      <c r="B198" s="114" t="s">
        <v>141</v>
      </c>
      <c r="C198" s="19">
        <f>((0.134*$C$201)/(($C$182^1.67)*($C$180^0.5)))-($C$181*$C$182)</f>
        <v>38.51243143986381</v>
      </c>
      <c r="D198" s="21" t="s">
        <v>134</v>
      </c>
      <c r="E198" s="105"/>
    </row>
    <row r="199" spans="1:6" ht="14.25">
      <c r="A199" s="79"/>
      <c r="B199" s="115" t="s">
        <v>142</v>
      </c>
      <c r="E199" s="105"/>
      <c r="F199" s="116"/>
    </row>
    <row r="200" spans="1:5" ht="12.75">
      <c r="A200" s="79"/>
      <c r="B200" s="96"/>
      <c r="E200" s="91"/>
    </row>
    <row r="201" spans="1:5" ht="12.75">
      <c r="A201" s="79"/>
      <c r="B201" s="103" t="s">
        <v>143</v>
      </c>
      <c r="C201" s="19">
        <f>$C$183*$C$179*$C$177</f>
        <v>4.708000000000001</v>
      </c>
      <c r="D201" s="21" t="s">
        <v>144</v>
      </c>
      <c r="E201" s="91"/>
    </row>
    <row r="202" ht="12.75">
      <c r="F202" s="19"/>
    </row>
    <row r="203" ht="12.75">
      <c r="A203" s="105" t="s">
        <v>145</v>
      </c>
    </row>
    <row r="204" ht="12.75">
      <c r="A204" s="117"/>
    </row>
    <row r="205" spans="1:6" ht="15.75">
      <c r="A205" s="79"/>
      <c r="B205" s="88" t="s">
        <v>146</v>
      </c>
      <c r="C205" s="19">
        <f>($C$201)/($C$186)</f>
        <v>0.35745712501420435</v>
      </c>
      <c r="D205" s="21" t="s">
        <v>147</v>
      </c>
      <c r="F205" s="19"/>
    </row>
    <row r="206" spans="1:6" ht="12.75">
      <c r="A206" s="79"/>
      <c r="B206" s="88"/>
      <c r="C206" s="19"/>
      <c r="F206" s="19"/>
    </row>
    <row r="207" spans="1:19" ht="12.75">
      <c r="A207" s="105" t="s">
        <v>148</v>
      </c>
      <c r="R207" s="87"/>
      <c r="S207" s="108"/>
    </row>
    <row r="208" spans="1:19" ht="12.75">
      <c r="A208" s="79"/>
      <c r="B208" s="107"/>
      <c r="R208" s="87"/>
      <c r="S208" s="108"/>
    </row>
    <row r="209" spans="1:19" ht="12.75">
      <c r="A209" s="79"/>
      <c r="B209" s="88" t="s">
        <v>149</v>
      </c>
      <c r="C209" s="19">
        <f>$C$205*300</f>
        <v>107.2371375042613</v>
      </c>
      <c r="D209" s="21" t="s">
        <v>134</v>
      </c>
      <c r="R209" s="87"/>
      <c r="S209" s="108"/>
    </row>
    <row r="210" spans="1:19" ht="12.75">
      <c r="A210" s="79"/>
      <c r="B210" s="88"/>
      <c r="C210" s="19"/>
      <c r="R210" s="87"/>
      <c r="S210" s="108"/>
    </row>
    <row r="211" spans="1:19" ht="12.75">
      <c r="A211" s="93"/>
      <c r="B211" s="115" t="s">
        <v>150</v>
      </c>
      <c r="E211" s="91"/>
      <c r="G211" s="84"/>
      <c r="R211" s="87"/>
      <c r="S211" s="108"/>
    </row>
    <row r="212" spans="1:19" ht="12.75">
      <c r="A212" s="93"/>
      <c r="B212" s="115"/>
      <c r="E212" s="91"/>
      <c r="G212" s="84"/>
      <c r="R212" s="87"/>
      <c r="S212" s="108"/>
    </row>
    <row r="213" spans="1:19" ht="12.75">
      <c r="A213" s="93"/>
      <c r="B213" s="115"/>
      <c r="E213" s="91"/>
      <c r="G213" s="84"/>
      <c r="R213" s="87"/>
      <c r="S213" s="108"/>
    </row>
    <row r="214" spans="1:19" ht="12.75">
      <c r="A214" s="106" t="s">
        <v>151</v>
      </c>
      <c r="B214" s="88"/>
      <c r="E214" s="91"/>
      <c r="G214" s="84"/>
      <c r="J214" s="118" t="s">
        <v>152</v>
      </c>
      <c r="R214" s="87"/>
      <c r="S214" s="108"/>
    </row>
    <row r="215" spans="1:19" ht="12.75">
      <c r="A215" s="106"/>
      <c r="B215" s="88"/>
      <c r="E215" s="91"/>
      <c r="G215" s="84"/>
      <c r="J215" s="118" t="s">
        <v>308</v>
      </c>
      <c r="R215" s="87"/>
      <c r="S215" s="108"/>
    </row>
    <row r="216" spans="1:19" ht="12.75">
      <c r="A216" s="117"/>
      <c r="B216" s="88"/>
      <c r="C216" s="111"/>
      <c r="G216" s="84"/>
      <c r="J216" s="118" t="s">
        <v>153</v>
      </c>
      <c r="R216" s="87"/>
      <c r="S216" s="108"/>
    </row>
    <row r="217" spans="1:19" ht="12.75">
      <c r="A217" s="117"/>
      <c r="B217" s="103" t="s">
        <v>154</v>
      </c>
      <c r="C217" s="19">
        <f>$C$183*$C$179*$C$177</f>
        <v>4.708000000000001</v>
      </c>
      <c r="D217" s="21" t="s">
        <v>144</v>
      </c>
      <c r="G217" s="84"/>
      <c r="R217" s="87"/>
      <c r="S217" s="108"/>
    </row>
    <row r="218" spans="1:19" ht="12.75">
      <c r="A218" s="117"/>
      <c r="B218" s="88"/>
      <c r="C218" s="111"/>
      <c r="G218" s="84"/>
      <c r="J218" s="118" t="s">
        <v>309</v>
      </c>
      <c r="R218" s="87"/>
      <c r="S218" s="108"/>
    </row>
    <row r="219" spans="1:19" ht="12.75">
      <c r="A219" s="117"/>
      <c r="B219" s="88" t="s">
        <v>155</v>
      </c>
      <c r="C219" s="19">
        <f>7.45*($C$220*$C$182+$C$181*($C$182)^2)*(($C$220*$C$182+$C$181*$C$182^2)/($C$220+2*(($C$181*$C$182)^2+$C$182^2)^0.5))^(2/3)*$C$180^0.5</f>
        <v>0.7577078804697143</v>
      </c>
      <c r="D219" s="21" t="s">
        <v>144</v>
      </c>
      <c r="E219" s="88" t="s">
        <v>156</v>
      </c>
      <c r="F219" s="19">
        <f>$C$217-$C$219</f>
        <v>3.9502921195302867</v>
      </c>
      <c r="G219" s="84"/>
      <c r="J219" s="118" t="s">
        <v>157</v>
      </c>
      <c r="R219" s="87"/>
      <c r="S219" s="108"/>
    </row>
    <row r="220" spans="1:19" ht="12.75">
      <c r="A220" s="117"/>
      <c r="B220" s="88" t="s">
        <v>158</v>
      </c>
      <c r="C220" s="19">
        <v>6</v>
      </c>
      <c r="D220" s="21" t="s">
        <v>159</v>
      </c>
      <c r="G220" s="84"/>
      <c r="J220" s="118" t="s">
        <v>310</v>
      </c>
      <c r="R220" s="87"/>
      <c r="S220" s="108"/>
    </row>
    <row r="221" spans="1:19" ht="12.75">
      <c r="A221" s="117"/>
      <c r="B221" s="88"/>
      <c r="C221" s="111"/>
      <c r="G221" s="84"/>
      <c r="J221" s="118" t="s">
        <v>311</v>
      </c>
      <c r="R221" s="87"/>
      <c r="S221" s="108"/>
    </row>
    <row r="222" spans="1:19" ht="12.75">
      <c r="A222" s="106"/>
      <c r="B222" s="88"/>
      <c r="C222" s="19"/>
      <c r="E222" s="88"/>
      <c r="F222" s="19"/>
      <c r="G222" s="84"/>
      <c r="J222" s="118" t="s">
        <v>160</v>
      </c>
      <c r="R222" s="87"/>
      <c r="S222" s="108"/>
    </row>
    <row r="223" spans="2:19" ht="12.75">
      <c r="B223" s="118" t="s">
        <v>247</v>
      </c>
      <c r="C223" s="19"/>
      <c r="E223" s="88"/>
      <c r="F223" s="19"/>
      <c r="G223" s="119"/>
      <c r="J223" s="118"/>
      <c r="R223" s="87"/>
      <c r="S223" s="108"/>
    </row>
    <row r="224" spans="1:19" ht="12.75">
      <c r="A224" s="79"/>
      <c r="B224" s="88"/>
      <c r="C224" s="19"/>
      <c r="E224" s="115"/>
      <c r="G224" s="84"/>
      <c r="J224" s="118" t="s">
        <v>161</v>
      </c>
      <c r="R224" s="87"/>
      <c r="S224" s="108"/>
    </row>
    <row r="225" spans="1:19" ht="12.75">
      <c r="A225" s="79"/>
      <c r="B225" s="88"/>
      <c r="C225" s="19"/>
      <c r="E225" s="115"/>
      <c r="H225" s="96"/>
      <c r="J225" s="118" t="s">
        <v>162</v>
      </c>
      <c r="R225" s="87"/>
      <c r="S225" s="108"/>
    </row>
    <row r="226" spans="1:19" ht="12.75">
      <c r="A226" s="79"/>
      <c r="B226" s="88" t="s">
        <v>163</v>
      </c>
      <c r="C226" s="19">
        <f>$C$201/$C$186</f>
        <v>0.35745712501420435</v>
      </c>
      <c r="D226" s="21" t="s">
        <v>164</v>
      </c>
      <c r="G226" s="84"/>
      <c r="R226" s="87"/>
      <c r="S226" s="108"/>
    </row>
    <row r="227" spans="1:19" ht="12.75">
      <c r="A227" s="79"/>
      <c r="B227" s="88" t="s">
        <v>166</v>
      </c>
      <c r="C227" s="19">
        <f>$C$226*300</f>
        <v>107.2371375042613</v>
      </c>
      <c r="D227" s="21" t="s">
        <v>130</v>
      </c>
      <c r="G227" s="84"/>
      <c r="J227" s="91" t="s">
        <v>165</v>
      </c>
      <c r="R227" s="87"/>
      <c r="S227" s="108"/>
    </row>
    <row r="228" spans="1:19" ht="12.75">
      <c r="A228" s="79"/>
      <c r="B228" s="88"/>
      <c r="C228" s="19"/>
      <c r="G228" s="84"/>
      <c r="J228" s="91" t="s">
        <v>167</v>
      </c>
      <c r="R228" s="87"/>
      <c r="S228" s="108"/>
    </row>
    <row r="229" spans="1:19" ht="12.75">
      <c r="A229" s="106"/>
      <c r="B229" s="120" t="s">
        <v>248</v>
      </c>
      <c r="C229" s="84"/>
      <c r="G229" s="84"/>
      <c r="J229" s="91" t="s">
        <v>168</v>
      </c>
      <c r="R229" s="87"/>
      <c r="S229" s="108"/>
    </row>
    <row r="230" spans="1:19" ht="12.75">
      <c r="A230" s="106"/>
      <c r="B230" s="120"/>
      <c r="C230" s="84"/>
      <c r="G230" s="84"/>
      <c r="J230" s="91"/>
      <c r="R230" s="87"/>
      <c r="S230" s="108"/>
    </row>
    <row r="231" spans="1:19" ht="12.75">
      <c r="A231" s="79"/>
      <c r="B231" s="88" t="s">
        <v>170</v>
      </c>
      <c r="C231" s="17">
        <v>6</v>
      </c>
      <c r="D231" s="21" t="s">
        <v>130</v>
      </c>
      <c r="G231" s="84"/>
      <c r="J231" s="121" t="s">
        <v>169</v>
      </c>
      <c r="R231" s="87"/>
      <c r="S231" s="108"/>
    </row>
    <row r="232" spans="1:19" ht="12.75">
      <c r="A232" s="79"/>
      <c r="B232" s="88" t="s">
        <v>171</v>
      </c>
      <c r="C232" s="113">
        <f>7.45*($C$231*$C$233+$C$181*($C$233)^2)*(($C$231*$C$233+$C$181*$C$233^2)/($C$231+2*(($C$181*$C$233)^2+$C$233^2)^0.5))^0.666*$C$180^0.5</f>
        <v>0.7577587077317417</v>
      </c>
      <c r="D232" s="21" t="s">
        <v>144</v>
      </c>
      <c r="E232" s="88" t="s">
        <v>172</v>
      </c>
      <c r="F232" s="19">
        <f>$C$217-$C$232</f>
        <v>3.9502412922682595</v>
      </c>
      <c r="G232" s="84"/>
      <c r="J232" s="121" t="s">
        <v>312</v>
      </c>
      <c r="R232" s="87"/>
      <c r="S232" s="108"/>
    </row>
    <row r="233" spans="1:19" ht="12.75">
      <c r="A233" s="79"/>
      <c r="B233" s="88" t="s">
        <v>173</v>
      </c>
      <c r="C233" s="113">
        <v>0.33318635950329756</v>
      </c>
      <c r="D233" s="21" t="s">
        <v>130</v>
      </c>
      <c r="E233" s="115"/>
      <c r="G233" s="84"/>
      <c r="J233" s="121" t="s">
        <v>313</v>
      </c>
      <c r="R233" s="87"/>
      <c r="S233" s="108"/>
    </row>
    <row r="234" spans="1:19" ht="12.75">
      <c r="A234" s="79"/>
      <c r="B234" s="88" t="s">
        <v>174</v>
      </c>
      <c r="C234" s="113">
        <f>$C$232/($C$231*$C$233+$C$181*$C$233^2)</f>
        <v>0.32491745210351397</v>
      </c>
      <c r="D234" s="21" t="s">
        <v>144</v>
      </c>
      <c r="G234" s="84"/>
      <c r="J234" s="121"/>
      <c r="R234" s="87"/>
      <c r="S234" s="108"/>
    </row>
    <row r="235" spans="1:19" ht="12.75">
      <c r="A235" s="79"/>
      <c r="B235" s="88" t="s">
        <v>166</v>
      </c>
      <c r="C235" s="113">
        <f>$C$234*300</f>
        <v>97.47523563105419</v>
      </c>
      <c r="D235" s="21" t="s">
        <v>130</v>
      </c>
      <c r="G235" s="84"/>
      <c r="J235" s="121" t="s">
        <v>314</v>
      </c>
      <c r="R235" s="87"/>
      <c r="S235" s="108"/>
    </row>
    <row r="236" spans="1:19" ht="12.75">
      <c r="A236" s="79"/>
      <c r="B236" s="88"/>
      <c r="C236" s="113"/>
      <c r="G236" s="84"/>
      <c r="J236" s="121" t="s">
        <v>315</v>
      </c>
      <c r="R236" s="87"/>
      <c r="S236" s="108"/>
    </row>
    <row r="237" spans="1:19" ht="12.75">
      <c r="A237" s="110" t="s">
        <v>176</v>
      </c>
      <c r="B237" s="88"/>
      <c r="C237" s="113"/>
      <c r="G237" s="84"/>
      <c r="R237" s="87"/>
      <c r="S237" s="108"/>
    </row>
    <row r="238" spans="1:20" ht="12.75">
      <c r="A238" s="104" t="s">
        <v>177</v>
      </c>
      <c r="J238" s="121" t="s">
        <v>175</v>
      </c>
      <c r="R238" s="87"/>
      <c r="S238" s="107"/>
      <c r="T238" s="19"/>
    </row>
    <row r="239" ht="12.75">
      <c r="J239" s="121" t="s">
        <v>316</v>
      </c>
    </row>
    <row r="240" spans="1:19" ht="12.75">
      <c r="A240" s="87" t="s">
        <v>179</v>
      </c>
      <c r="C240" s="84" t="s">
        <v>77</v>
      </c>
      <c r="F240" s="84" t="s">
        <v>180</v>
      </c>
      <c r="J240" s="121" t="s">
        <v>317</v>
      </c>
      <c r="R240" s="87"/>
      <c r="S240" s="88"/>
    </row>
    <row r="241" spans="1:19" ht="12.75">
      <c r="A241" s="79"/>
      <c r="J241" s="121" t="s">
        <v>160</v>
      </c>
      <c r="R241" s="87"/>
      <c r="S241" s="107"/>
    </row>
    <row r="242" spans="1:19" ht="12.75">
      <c r="A242" s="104" t="s">
        <v>182</v>
      </c>
      <c r="R242" s="87"/>
      <c r="S242" s="107"/>
    </row>
    <row r="243" spans="1:18" ht="12.75">
      <c r="A243" s="104" t="s">
        <v>183</v>
      </c>
      <c r="J243" s="121" t="s">
        <v>178</v>
      </c>
      <c r="R243" s="87"/>
    </row>
    <row r="244" spans="1:18" ht="12.75">
      <c r="A244" s="104" t="s">
        <v>184</v>
      </c>
      <c r="J244" s="121" t="s">
        <v>181</v>
      </c>
      <c r="R244" s="87"/>
    </row>
    <row r="245" spans="1:19" ht="12.75">
      <c r="A245" s="104" t="s">
        <v>243</v>
      </c>
      <c r="J245" s="121" t="s">
        <v>314</v>
      </c>
      <c r="R245" s="87"/>
      <c r="S245" s="107"/>
    </row>
    <row r="246" spans="1:19" ht="12.75">
      <c r="A246" s="104"/>
      <c r="J246" s="121" t="s">
        <v>315</v>
      </c>
      <c r="R246" s="87"/>
      <c r="S246" s="107"/>
    </row>
    <row r="247" spans="1:19" ht="12.75">
      <c r="A247" s="104" t="s">
        <v>238</v>
      </c>
      <c r="J247" s="121" t="s">
        <v>175</v>
      </c>
      <c r="R247" s="87"/>
      <c r="S247" s="107"/>
    </row>
    <row r="248" spans="1:19" ht="12.75">
      <c r="A248" s="79"/>
      <c r="J248" s="121" t="s">
        <v>318</v>
      </c>
      <c r="R248" s="87"/>
      <c r="S248" s="107"/>
    </row>
    <row r="249" spans="1:20" ht="12.75">
      <c r="A249" s="79"/>
      <c r="J249" s="121" t="s">
        <v>317</v>
      </c>
      <c r="R249" s="87"/>
      <c r="S249" s="88"/>
      <c r="T249" s="19"/>
    </row>
    <row r="250" spans="1:18" ht="12.75">
      <c r="A250" s="87" t="s">
        <v>185</v>
      </c>
      <c r="C250" s="84" t="s">
        <v>77</v>
      </c>
      <c r="F250" s="84" t="s">
        <v>186</v>
      </c>
      <c r="J250" s="121" t="s">
        <v>160</v>
      </c>
      <c r="R250" s="87"/>
    </row>
    <row r="251" ht="12.75">
      <c r="A251" s="79"/>
    </row>
    <row r="252" spans="1:10" ht="12.75">
      <c r="A252" s="79"/>
      <c r="B252" s="88" t="s">
        <v>187</v>
      </c>
      <c r="C252" s="6" t="str">
        <f>IF($C$45="Wet Vault",$C$78,"NA")</f>
        <v>NA</v>
      </c>
      <c r="D252" s="21" t="s">
        <v>58</v>
      </c>
      <c r="E252" s="84"/>
      <c r="J252" s="121" t="s">
        <v>178</v>
      </c>
    </row>
    <row r="253" spans="1:10" ht="12.75">
      <c r="A253" s="79"/>
      <c r="B253" s="88"/>
      <c r="C253" s="20"/>
      <c r="E253" s="84"/>
      <c r="J253" s="121" t="s">
        <v>181</v>
      </c>
    </row>
    <row r="254" spans="1:10" ht="12.75">
      <c r="A254" s="110" t="s">
        <v>188</v>
      </c>
      <c r="C254" s="20"/>
      <c r="E254" s="84"/>
      <c r="J254" s="121"/>
    </row>
    <row r="255" ht="12.75">
      <c r="J255" s="121"/>
    </row>
    <row r="256" ht="12.75">
      <c r="B256" s="88" t="s">
        <v>189</v>
      </c>
    </row>
    <row r="257" ht="12.75">
      <c r="E257" s="122"/>
    </row>
    <row r="258" spans="2:10" ht="14.25">
      <c r="B258" s="88" t="s">
        <v>190</v>
      </c>
      <c r="C258" s="113">
        <f>0.546*($C$40)^2+0.328*($C$40)+0.03</f>
        <v>0.24856000000000003</v>
      </c>
      <c r="E258" s="123" t="s">
        <v>237</v>
      </c>
      <c r="J258" s="124"/>
    </row>
    <row r="259" spans="2:4" ht="12.75">
      <c r="B259" s="88" t="s">
        <v>191</v>
      </c>
      <c r="C259" s="21">
        <v>1.1</v>
      </c>
      <c r="D259" s="21" t="s">
        <v>192</v>
      </c>
    </row>
    <row r="260" spans="2:4" ht="12.75">
      <c r="B260" s="88" t="s">
        <v>193</v>
      </c>
      <c r="C260" s="17">
        <v>1</v>
      </c>
      <c r="D260" s="21" t="s">
        <v>21</v>
      </c>
    </row>
    <row r="261" spans="2:6" ht="12.75">
      <c r="B261" s="88"/>
      <c r="F261" s="88"/>
    </row>
    <row r="262" spans="2:4" ht="12.75">
      <c r="B262" s="88" t="s">
        <v>194</v>
      </c>
      <c r="C262" s="19">
        <f>$C$258*$C$259*$C$260</f>
        <v>0.27341600000000005</v>
      </c>
      <c r="D262" s="21" t="s">
        <v>195</v>
      </c>
    </row>
    <row r="263" ht="12.75">
      <c r="B263" s="88"/>
    </row>
    <row r="264" ht="15.75">
      <c r="B264" s="88" t="s">
        <v>196</v>
      </c>
    </row>
    <row r="265" ht="12.75"/>
    <row r="266" spans="2:4" ht="12.75">
      <c r="B266" s="88" t="s">
        <v>197</v>
      </c>
      <c r="C266" s="19">
        <f>$C$262</f>
        <v>0.27341600000000005</v>
      </c>
      <c r="D266" s="21" t="s">
        <v>195</v>
      </c>
    </row>
    <row r="267" spans="2:4" ht="12.75">
      <c r="B267" s="88" t="s">
        <v>198</v>
      </c>
      <c r="C267" s="17">
        <v>150</v>
      </c>
      <c r="D267" s="21" t="s">
        <v>85</v>
      </c>
    </row>
    <row r="268" ht="12.75"/>
    <row r="269" spans="2:4" ht="15.75">
      <c r="B269" s="88" t="s">
        <v>199</v>
      </c>
      <c r="C269" s="19">
        <f>$C$266/$C$267</f>
        <v>0.0018227733333333336</v>
      </c>
      <c r="D269" s="21" t="s">
        <v>200</v>
      </c>
    </row>
    <row r="270" ht="12.75"/>
    <row r="271" spans="2:4" ht="12.75">
      <c r="B271" s="88" t="s">
        <v>201</v>
      </c>
      <c r="C271" s="17">
        <v>53</v>
      </c>
      <c r="D271" s="21" t="s">
        <v>38</v>
      </c>
    </row>
    <row r="272" spans="2:3" ht="12.75">
      <c r="B272" s="88"/>
      <c r="C272" s="112"/>
    </row>
    <row r="273" spans="2:4" ht="12.75">
      <c r="B273" s="88" t="s">
        <v>202</v>
      </c>
      <c r="C273" s="21" t="e">
        <f>$C$271/100*$C$252</f>
        <v>#VALUE!</v>
      </c>
      <c r="D273" s="21" t="s">
        <v>58</v>
      </c>
    </row>
    <row r="274" ht="12.75"/>
    <row r="275" ht="12.75">
      <c r="A275" s="104" t="s">
        <v>203</v>
      </c>
    </row>
    <row r="276" ht="12.75">
      <c r="A276" s="104" t="s">
        <v>204</v>
      </c>
    </row>
    <row r="277" ht="12.75"/>
    <row r="278" spans="2:4" ht="12.75">
      <c r="B278" s="88" t="s">
        <v>205</v>
      </c>
      <c r="C278" s="17">
        <v>0.5</v>
      </c>
      <c r="D278" s="21" t="s">
        <v>192</v>
      </c>
    </row>
    <row r="279" ht="12.75"/>
    <row r="280" spans="2:4" ht="12.75">
      <c r="B280" s="88" t="s">
        <v>206</v>
      </c>
      <c r="C280" s="17">
        <v>0.75</v>
      </c>
      <c r="D280" s="21" t="s">
        <v>38</v>
      </c>
    </row>
    <row r="281" spans="2:4" ht="12.75">
      <c r="B281" s="88" t="s">
        <v>207</v>
      </c>
      <c r="C281" s="19">
        <f>$C$280/0.9</f>
        <v>0.8333333333333333</v>
      </c>
      <c r="D281" s="21" t="s">
        <v>38</v>
      </c>
    </row>
    <row r="282" ht="12.75">
      <c r="B282" s="88"/>
    </row>
    <row r="283" spans="2:4" ht="12.75">
      <c r="B283" s="88" t="s">
        <v>208</v>
      </c>
      <c r="C283" s="19" t="e">
        <f>$C$273*$C$281</f>
        <v>#VALUE!</v>
      </c>
      <c r="D283" s="21" t="s">
        <v>58</v>
      </c>
    </row>
    <row r="284" ht="12.75"/>
    <row r="285" ht="12.75"/>
    <row r="286" spans="1:6" ht="12.75">
      <c r="A286" s="87" t="s">
        <v>209</v>
      </c>
      <c r="C286" s="84" t="s">
        <v>77</v>
      </c>
      <c r="F286" s="84" t="s">
        <v>210</v>
      </c>
    </row>
    <row r="287" ht="12.75"/>
    <row r="288" ht="12.75">
      <c r="A288" s="110" t="s">
        <v>211</v>
      </c>
    </row>
    <row r="289" ht="12.75"/>
    <row r="290" spans="1:6" ht="12.75">
      <c r="A290" s="87" t="s">
        <v>212</v>
      </c>
      <c r="C290" s="84" t="s">
        <v>77</v>
      </c>
      <c r="F290" s="84" t="s">
        <v>213</v>
      </c>
    </row>
    <row r="291" ht="12.75"/>
    <row r="292" ht="15.75">
      <c r="B292" s="104" t="s">
        <v>249</v>
      </c>
    </row>
    <row r="293" ht="12.75"/>
    <row r="294" spans="2:5" ht="15.75">
      <c r="B294" s="88" t="s">
        <v>214</v>
      </c>
      <c r="C294" s="19">
        <f>(1-((1-$C$296/100)*(1-0.65*$C$298/100)*(1-0.25*$C$300/100)))*100</f>
        <v>86.375</v>
      </c>
      <c r="D294" s="21" t="s">
        <v>38</v>
      </c>
      <c r="E294" s="21" t="s">
        <v>215</v>
      </c>
    </row>
    <row r="295" ht="12.75"/>
    <row r="296" spans="2:5" ht="15.75">
      <c r="B296" s="88" t="s">
        <v>216</v>
      </c>
      <c r="C296" s="16">
        <v>75</v>
      </c>
      <c r="D296" s="21" t="s">
        <v>38</v>
      </c>
      <c r="E296" s="19"/>
    </row>
    <row r="297" spans="2:5" ht="12.75">
      <c r="B297" s="88"/>
      <c r="E297" s="19"/>
    </row>
    <row r="298" spans="2:5" ht="15.75">
      <c r="B298" s="88" t="s">
        <v>217</v>
      </c>
      <c r="C298" s="16">
        <v>70</v>
      </c>
      <c r="D298" s="21" t="s">
        <v>38</v>
      </c>
      <c r="E298" s="19"/>
    </row>
    <row r="299" spans="2:5" ht="12.75">
      <c r="B299" s="88"/>
      <c r="C299" s="111"/>
      <c r="E299" s="19"/>
    </row>
    <row r="300" spans="2:5" ht="15.75">
      <c r="B300" s="88" t="s">
        <v>218</v>
      </c>
      <c r="C300" s="16">
        <v>0</v>
      </c>
      <c r="D300" s="21" t="s">
        <v>38</v>
      </c>
      <c r="E300" s="19"/>
    </row>
    <row r="301" spans="2:5" ht="12.75">
      <c r="B301" s="88"/>
      <c r="E301" s="19"/>
    </row>
    <row r="302" ht="12.75">
      <c r="B302" s="21" t="s">
        <v>219</v>
      </c>
    </row>
    <row r="303" ht="15.75">
      <c r="B303" s="21" t="s">
        <v>220</v>
      </c>
    </row>
    <row r="304" ht="12.75"/>
    <row r="305" spans="2:4" ht="15.75">
      <c r="B305" s="88" t="s">
        <v>221</v>
      </c>
      <c r="C305" s="19">
        <f>$C$294/100*$C$25*($C$70*34.6+$C$71*0.54)</f>
        <v>3914.9296000000004</v>
      </c>
      <c r="D305" s="21" t="s">
        <v>58</v>
      </c>
    </row>
    <row r="306" ht="12.75"/>
    <row r="307" ht="12.75">
      <c r="C307" s="125"/>
    </row>
    <row r="308" spans="1:3" ht="12.75">
      <c r="A308" s="87" t="s">
        <v>269</v>
      </c>
      <c r="C308" s="125"/>
    </row>
    <row r="309" spans="1:4" ht="12.75">
      <c r="A309" s="87"/>
      <c r="B309" s="126" t="s">
        <v>275</v>
      </c>
      <c r="C309" s="127" t="str">
        <f>IF(C45="Stormceptor",C41,"NA")</f>
        <v>NA</v>
      </c>
      <c r="D309" s="21" t="s">
        <v>58</v>
      </c>
    </row>
    <row r="310" spans="2:4" ht="12.75">
      <c r="B310" s="126" t="s">
        <v>276</v>
      </c>
      <c r="C310" s="73">
        <v>0</v>
      </c>
      <c r="D310" s="79" t="s">
        <v>274</v>
      </c>
    </row>
    <row r="311" spans="2:4" ht="12.75">
      <c r="B311" s="128" t="s">
        <v>272</v>
      </c>
      <c r="C311" s="129">
        <f>C310*C25*27.2</f>
        <v>0</v>
      </c>
      <c r="D311" s="21" t="s">
        <v>58</v>
      </c>
    </row>
    <row r="312" spans="2:3" ht="12.75">
      <c r="B312" s="91" t="s">
        <v>251</v>
      </c>
      <c r="C312" s="125"/>
    </row>
    <row r="313" spans="2:4" ht="12.75">
      <c r="B313" s="128" t="s">
        <v>277</v>
      </c>
      <c r="C313" s="129" t="str">
        <f>IF(C45="Stormceptor",((0.9*C39)+(0.03*(C37-C39))),"NA")</f>
        <v>NA</v>
      </c>
      <c r="D313" s="21" t="s">
        <v>278</v>
      </c>
    </row>
    <row r="314" spans="2:3" ht="12.75">
      <c r="B314" s="128" t="s">
        <v>279</v>
      </c>
      <c r="C314" s="125" t="e">
        <f>VLOOKUP(C313,bmps!A26:B33,2)</f>
        <v>#N/A</v>
      </c>
    </row>
    <row r="315" spans="2:3" ht="12.75">
      <c r="B315" s="131" t="s">
        <v>302</v>
      </c>
      <c r="C315" s="125"/>
    </row>
    <row r="316" spans="2:4" ht="12.75">
      <c r="B316" s="131"/>
      <c r="C316" s="74">
        <v>0</v>
      </c>
      <c r="D316" s="21" t="s">
        <v>301</v>
      </c>
    </row>
    <row r="317" spans="2:3" ht="12.75">
      <c r="B317" s="128"/>
      <c r="C317" s="125"/>
    </row>
    <row r="318" spans="2:4" ht="14.25">
      <c r="B318" s="128" t="s">
        <v>280</v>
      </c>
      <c r="C318" s="129" t="e">
        <f>VLOOKUP((IF(C316=0,C314,C316)),bmps!D26:E39,2)</f>
        <v>#N/A</v>
      </c>
      <c r="D318" s="21" t="s">
        <v>281</v>
      </c>
    </row>
    <row r="319" spans="2:4" ht="15.75">
      <c r="B319" s="128" t="s">
        <v>282</v>
      </c>
      <c r="C319" s="130" t="e">
        <f>(C313*1.1)/C318</f>
        <v>#VALUE!</v>
      </c>
      <c r="D319" s="21" t="s">
        <v>283</v>
      </c>
    </row>
    <row r="320" spans="2:4" ht="15.75">
      <c r="B320" s="128" t="s">
        <v>284</v>
      </c>
      <c r="C320" s="130" t="e">
        <f>IF(LOOKUP(C319,bmps!A43:A103)='Loading Calcs'!C319,'Loading Calcs'!C319,INDEX(bmps!A43:A103,MATCH('Loading Calcs'!C319,bmps!A43:A103)+1))</f>
        <v>#VALUE!</v>
      </c>
      <c r="D320" s="21" t="s">
        <v>283</v>
      </c>
    </row>
    <row r="321" spans="2:4" ht="12.75">
      <c r="B321" s="128" t="s">
        <v>285</v>
      </c>
      <c r="C321" s="129" t="e">
        <f>VLOOKUP(C320,bmps!A43:B103,2)*100</f>
        <v>#VALUE!</v>
      </c>
      <c r="D321" s="21" t="s">
        <v>286</v>
      </c>
    </row>
    <row r="322" spans="2:4" ht="15.75">
      <c r="B322" s="128" t="s">
        <v>287</v>
      </c>
      <c r="C322" s="129" t="e">
        <f>((C321/100)*C25)*((C39*34.6)+((C37-C39)*0.54))</f>
        <v>#VALUE!</v>
      </c>
      <c r="D322" s="21" t="s">
        <v>58</v>
      </c>
    </row>
    <row r="323" spans="2:3" ht="12.75">
      <c r="B323" s="128"/>
      <c r="C323" s="125"/>
    </row>
    <row r="324" spans="2:4" ht="12.75">
      <c r="B324" s="128" t="s">
        <v>271</v>
      </c>
      <c r="C324" s="129" t="e">
        <f>C322-C309</f>
        <v>#VALUE!</v>
      </c>
      <c r="D324" s="21" t="s">
        <v>58</v>
      </c>
    </row>
    <row r="325" spans="2:3" ht="12.75">
      <c r="B325" s="128"/>
      <c r="C325" s="125"/>
    </row>
    <row r="326" spans="2:3" ht="12.75">
      <c r="B326" s="128" t="s">
        <v>305</v>
      </c>
      <c r="C326" s="125" t="e">
        <f>IF((ROUND(C324,6))&gt;=(ROUND(C311,6)),"Yes","No")</f>
        <v>#VALUE!</v>
      </c>
    </row>
    <row r="327" spans="2:3" ht="12.75">
      <c r="B327" s="128"/>
      <c r="C327" s="125"/>
    </row>
    <row r="328" spans="2:3" ht="12.75">
      <c r="B328" s="128" t="s">
        <v>273</v>
      </c>
      <c r="C328" s="129" t="e">
        <f>IF(C326="Yes",(C309+C311),"NA")</f>
        <v>#VALUE!</v>
      </c>
    </row>
    <row r="329" spans="2:3" ht="12.75">
      <c r="B329" s="128"/>
      <c r="C329" s="125"/>
    </row>
    <row r="330" ht="12.75">
      <c r="C330" s="125"/>
    </row>
    <row r="331" spans="1:3" ht="12.75">
      <c r="A331" s="87" t="s">
        <v>300</v>
      </c>
      <c r="C331" s="125"/>
    </row>
    <row r="332" spans="1:4" ht="12.75">
      <c r="A332" s="87"/>
      <c r="B332" s="126" t="s">
        <v>275</v>
      </c>
      <c r="C332" s="127" t="str">
        <f>IF(C45="Vortechs",C41,"NA")</f>
        <v>NA</v>
      </c>
      <c r="D332" s="21" t="s">
        <v>58</v>
      </c>
    </row>
    <row r="333" spans="2:4" ht="12.75">
      <c r="B333" s="126" t="s">
        <v>276</v>
      </c>
      <c r="C333" s="73">
        <v>0</v>
      </c>
      <c r="D333" s="79" t="s">
        <v>274</v>
      </c>
    </row>
    <row r="334" spans="2:4" ht="12.75">
      <c r="B334" s="128" t="s">
        <v>272</v>
      </c>
      <c r="C334" s="129">
        <f>C333*C25*27.2</f>
        <v>0</v>
      </c>
      <c r="D334" s="21" t="s">
        <v>58</v>
      </c>
    </row>
    <row r="335" spans="2:3" ht="12.75">
      <c r="B335" s="91" t="s">
        <v>251</v>
      </c>
      <c r="C335" s="125"/>
    </row>
    <row r="336" spans="2:4" ht="12.75">
      <c r="B336" s="128" t="s">
        <v>277</v>
      </c>
      <c r="C336" s="129" t="str">
        <f>IF(C45="Vortechs",((0.9*C39)+(0.03*(C37-C39))),"NA")</f>
        <v>NA</v>
      </c>
      <c r="D336" s="21" t="s">
        <v>278</v>
      </c>
    </row>
    <row r="337" spans="2:3" ht="12.75">
      <c r="B337" s="128" t="s">
        <v>279</v>
      </c>
      <c r="C337" s="125" t="e">
        <f>VLOOKUP(C336,bmps!H26:I37,2)</f>
        <v>#N/A</v>
      </c>
    </row>
    <row r="338" spans="2:3" ht="12.75">
      <c r="B338" s="128"/>
      <c r="C338" s="125"/>
    </row>
    <row r="339" spans="2:4" ht="12.75">
      <c r="B339" s="128" t="s">
        <v>303</v>
      </c>
      <c r="C339" s="74" t="s">
        <v>288</v>
      </c>
      <c r="D339" s="21" t="s">
        <v>268</v>
      </c>
    </row>
    <row r="340" spans="2:3" ht="12.75">
      <c r="B340" s="128"/>
      <c r="C340" s="125"/>
    </row>
    <row r="341" spans="2:4" ht="14.25">
      <c r="B341" s="128" t="s">
        <v>280</v>
      </c>
      <c r="C341" s="129">
        <f>VLOOKUP((IF(C339=0,C337,C339)),bmps!K26:L38,2)</f>
        <v>7.1</v>
      </c>
      <c r="D341" s="21" t="s">
        <v>281</v>
      </c>
    </row>
    <row r="342" spans="2:4" ht="15.75">
      <c r="B342" s="128" t="s">
        <v>282</v>
      </c>
      <c r="C342" s="130" t="e">
        <f>(C336*1.1)/C341</f>
        <v>#VALUE!</v>
      </c>
      <c r="D342" s="21" t="s">
        <v>283</v>
      </c>
    </row>
    <row r="343" spans="2:4" ht="15.75">
      <c r="B343" s="128" t="s">
        <v>284</v>
      </c>
      <c r="C343" s="130" t="e">
        <f>IF(LOOKUP(C342,bmps!H43:H102)='Loading Calcs'!C342,'Loading Calcs'!C342,INDEX(bmps!H43:H102,MATCH('Loading Calcs'!C342,bmps!H43:H102)+1))</f>
        <v>#VALUE!</v>
      </c>
      <c r="D343" s="21" t="s">
        <v>283</v>
      </c>
    </row>
    <row r="344" spans="2:4" ht="12.75">
      <c r="B344" s="128" t="s">
        <v>285</v>
      </c>
      <c r="C344" s="129" t="e">
        <f>VLOOKUP(C343,bmps!H43:I102,2)*100</f>
        <v>#VALUE!</v>
      </c>
      <c r="D344" s="21" t="s">
        <v>286</v>
      </c>
    </row>
    <row r="345" spans="2:4" ht="15.75">
      <c r="B345" s="128" t="s">
        <v>287</v>
      </c>
      <c r="C345" s="129" t="e">
        <f>((C344/100)*C25)*((C39*34.6)+((C37-C39)*0.54))</f>
        <v>#VALUE!</v>
      </c>
      <c r="D345" s="21" t="s">
        <v>58</v>
      </c>
    </row>
    <row r="346" spans="2:3" ht="12.75">
      <c r="B346" s="128"/>
      <c r="C346" s="125"/>
    </row>
    <row r="347" spans="2:4" ht="12.75">
      <c r="B347" s="128" t="s">
        <v>271</v>
      </c>
      <c r="C347" s="129" t="e">
        <f>C345-C332</f>
        <v>#VALUE!</v>
      </c>
      <c r="D347" s="21" t="s">
        <v>58</v>
      </c>
    </row>
    <row r="348" spans="2:3" ht="12.75">
      <c r="B348" s="128"/>
      <c r="C348" s="125"/>
    </row>
    <row r="349" spans="2:3" ht="12.75">
      <c r="B349" s="128" t="s">
        <v>305</v>
      </c>
      <c r="C349" s="125" t="e">
        <f>IF((ROUND(C347,6))&gt;=(ROUND(C334,6)),"Yes","No")</f>
        <v>#VALUE!</v>
      </c>
    </row>
    <row r="350" spans="2:3" ht="12.75">
      <c r="B350" s="128"/>
      <c r="C350" s="125"/>
    </row>
    <row r="351" spans="2:3" ht="12.75">
      <c r="B351" s="128" t="s">
        <v>273</v>
      </c>
      <c r="C351" s="129" t="e">
        <f>IF(C349="Yes",(C332+C334),"NA")</f>
        <v>#VALUE!</v>
      </c>
    </row>
  </sheetData>
  <sheetProtection sheet="1" objects="1" scenarios="1" selectLockedCells="1"/>
  <mergeCells count="1">
    <mergeCell ref="B315:B316"/>
  </mergeCells>
  <dataValidations count="4">
    <dataValidation type="list" allowBlank="1" showInputMessage="1" showErrorMessage="1" sqref="C20">
      <formula1>Location</formula1>
    </dataValidation>
    <dataValidation type="list" allowBlank="1" showInputMessage="1" showErrorMessage="1" sqref="C45">
      <formula1>BMP</formula1>
    </dataValidation>
    <dataValidation type="list" allowBlank="1" showInputMessage="1" showErrorMessage="1" sqref="C316">
      <formula1>Stormceptor</formula1>
    </dataValidation>
    <dataValidation type="list" allowBlank="1" showInputMessage="1" showErrorMessage="1" sqref="C339">
      <formula1>Vortech</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E111"/>
  <sheetViews>
    <sheetView workbookViewId="0" topLeftCell="A1">
      <selection activeCell="E23" sqref="E23"/>
    </sheetView>
  </sheetViews>
  <sheetFormatPr defaultColWidth="9.140625" defaultRowHeight="12.75"/>
  <cols>
    <col min="1" max="1" width="21.57421875" style="0" customWidth="1"/>
    <col min="2" max="2" width="12.7109375" style="0" customWidth="1"/>
  </cols>
  <sheetData>
    <row r="1" spans="1:5" ht="12.75">
      <c r="A1" t="s">
        <v>222</v>
      </c>
      <c r="B1" t="s">
        <v>223</v>
      </c>
      <c r="E1" s="1"/>
    </row>
    <row r="2" spans="1:5" ht="15.75">
      <c r="A2" s="22" t="s">
        <v>224</v>
      </c>
      <c r="B2" s="23">
        <v>30</v>
      </c>
      <c r="E2" s="1"/>
    </row>
    <row r="3" spans="1:5" ht="15.75">
      <c r="A3" s="22" t="s">
        <v>225</v>
      </c>
      <c r="B3" s="23">
        <v>33</v>
      </c>
      <c r="E3" s="1"/>
    </row>
    <row r="4" spans="1:5" ht="15.75">
      <c r="A4" s="22" t="s">
        <v>226</v>
      </c>
      <c r="B4" s="23">
        <v>33</v>
      </c>
      <c r="E4" s="1"/>
    </row>
    <row r="5" spans="1:5" ht="15.75">
      <c r="A5" s="22" t="s">
        <v>227</v>
      </c>
      <c r="B5" s="23">
        <v>22</v>
      </c>
      <c r="E5" s="1"/>
    </row>
    <row r="6" spans="1:5" ht="15.75">
      <c r="A6" s="22" t="s">
        <v>228</v>
      </c>
      <c r="B6" s="23">
        <v>28</v>
      </c>
      <c r="E6" s="1"/>
    </row>
    <row r="7" spans="1:5" ht="15.75">
      <c r="A7" s="22" t="s">
        <v>229</v>
      </c>
      <c r="B7" s="23">
        <v>32</v>
      </c>
      <c r="E7" s="1"/>
    </row>
    <row r="8" spans="1:5" ht="15.75">
      <c r="A8" s="22" t="s">
        <v>230</v>
      </c>
      <c r="B8" s="23">
        <v>25</v>
      </c>
      <c r="E8" s="1"/>
    </row>
    <row r="9" spans="1:5" ht="16.5" thickBot="1">
      <c r="A9" s="24" t="s">
        <v>231</v>
      </c>
      <c r="B9" s="25">
        <v>32</v>
      </c>
      <c r="E9" s="1"/>
    </row>
    <row r="10" ht="12.75">
      <c r="E10" s="1"/>
    </row>
    <row r="11" ht="12.75">
      <c r="E11" s="1"/>
    </row>
    <row r="12" spans="1:5" ht="12.75">
      <c r="A12" t="s">
        <v>232</v>
      </c>
      <c r="B12" t="s">
        <v>233</v>
      </c>
      <c r="E12" s="1"/>
    </row>
    <row r="13" spans="1:5" ht="12.75">
      <c r="A13" s="18">
        <v>0.07999999999999925</v>
      </c>
      <c r="B13" s="18">
        <v>0.04</v>
      </c>
      <c r="E13" s="1"/>
    </row>
    <row r="14" spans="1:5" ht="12.75">
      <c r="A14" s="18">
        <v>0.08999999999999925</v>
      </c>
      <c r="B14" s="18">
        <v>0.04599999999999995</v>
      </c>
      <c r="E14" s="1"/>
    </row>
    <row r="15" spans="1:2" ht="12.75">
      <c r="A15" s="18">
        <v>0.09999999999999924</v>
      </c>
      <c r="B15" s="18">
        <v>0.05199999999999995</v>
      </c>
    </row>
    <row r="16" spans="1:2" ht="12.75">
      <c r="A16" s="18">
        <v>0.10999999999999924</v>
      </c>
      <c r="B16" s="18">
        <v>0.05799999999999995</v>
      </c>
    </row>
    <row r="17" spans="1:2" ht="12.75">
      <c r="A17" s="18">
        <v>0.11999999999999923</v>
      </c>
      <c r="B17" s="18">
        <v>0.06399999999999995</v>
      </c>
    </row>
    <row r="18" spans="1:2" ht="12.75">
      <c r="A18" s="18">
        <v>0.12999999999999923</v>
      </c>
      <c r="B18" s="18">
        <v>0.06999999999999995</v>
      </c>
    </row>
    <row r="19" spans="1:2" ht="12.75">
      <c r="A19" s="18">
        <v>0.13999999999999924</v>
      </c>
      <c r="B19" s="18">
        <v>0.07599999999999996</v>
      </c>
    </row>
    <row r="20" spans="1:2" ht="12.75">
      <c r="A20" s="18">
        <v>0.14999999999999925</v>
      </c>
      <c r="B20" s="18">
        <v>0.08199999999999996</v>
      </c>
    </row>
    <row r="21" spans="1:2" ht="12.75">
      <c r="A21" s="18">
        <v>0.15999999999999925</v>
      </c>
      <c r="B21" s="18">
        <v>0.08799999999999997</v>
      </c>
    </row>
    <row r="22" spans="1:2" ht="12.75">
      <c r="A22" s="18">
        <v>0.16999999999999926</v>
      </c>
      <c r="B22" s="18">
        <v>0.09399999999999997</v>
      </c>
    </row>
    <row r="23" spans="1:2" ht="12.75">
      <c r="A23" s="18">
        <v>0.17999999999999927</v>
      </c>
      <c r="B23" s="18">
        <v>0.1</v>
      </c>
    </row>
    <row r="24" spans="1:2" ht="12.75">
      <c r="A24" s="18">
        <v>0.18999999999999928</v>
      </c>
      <c r="B24" s="18">
        <v>0.10714285714285712</v>
      </c>
    </row>
    <row r="25" spans="1:2" ht="12.75">
      <c r="A25" s="18">
        <v>0.1999999999999993</v>
      </c>
      <c r="B25" s="18">
        <v>0.11428571428571427</v>
      </c>
    </row>
    <row r="26" spans="1:2" ht="12.75">
      <c r="A26" s="18">
        <v>0.2099999999999993</v>
      </c>
      <c r="B26" s="18">
        <v>0.12142857142857141</v>
      </c>
    </row>
    <row r="27" spans="1:2" ht="12.75">
      <c r="A27" s="18">
        <v>0.2199999999999993</v>
      </c>
      <c r="B27" s="18">
        <v>0.12857142857142856</v>
      </c>
    </row>
    <row r="28" spans="1:2" ht="12.75">
      <c r="A28" s="18">
        <v>0.22999999999999932</v>
      </c>
      <c r="B28" s="18">
        <v>0.1357142857142857</v>
      </c>
    </row>
    <row r="29" spans="1:2" ht="12.75">
      <c r="A29" s="18">
        <v>0.23999999999999932</v>
      </c>
      <c r="B29" s="18">
        <v>0.14285714285714285</v>
      </c>
    </row>
    <row r="30" spans="1:2" ht="12.75">
      <c r="A30" s="18">
        <v>0.24999999999999933</v>
      </c>
      <c r="B30">
        <v>0.15</v>
      </c>
    </row>
    <row r="31" spans="1:2" ht="12.75">
      <c r="A31" s="18">
        <v>0.25999999999999934</v>
      </c>
      <c r="B31" s="18">
        <v>0.15833333333333335</v>
      </c>
    </row>
    <row r="32" spans="1:2" ht="12.75">
      <c r="A32" s="18">
        <v>0.26999999999999935</v>
      </c>
      <c r="B32" s="18">
        <v>0.16666666666666669</v>
      </c>
    </row>
    <row r="33" spans="1:2" ht="12.75">
      <c r="A33" s="18">
        <v>0.27999999999999936</v>
      </c>
      <c r="B33" s="18">
        <v>0.175</v>
      </c>
    </row>
    <row r="34" spans="1:2" ht="12.75">
      <c r="A34" s="18">
        <v>0.28999999999999937</v>
      </c>
      <c r="B34" s="18">
        <v>0.18333333333333335</v>
      </c>
    </row>
    <row r="35" spans="1:2" ht="12.75">
      <c r="A35" s="18">
        <v>0.2999999999999994</v>
      </c>
      <c r="B35" s="18">
        <v>0.19166666666666668</v>
      </c>
    </row>
    <row r="36" spans="1:2" ht="12.75">
      <c r="A36" s="18">
        <v>0.3099999999999994</v>
      </c>
      <c r="B36" s="18">
        <v>0.2</v>
      </c>
    </row>
    <row r="37" spans="1:2" ht="12.75">
      <c r="A37" s="18">
        <v>0.3199999999999994</v>
      </c>
      <c r="B37" s="18">
        <v>0.20833333333333334</v>
      </c>
    </row>
    <row r="38" spans="1:2" ht="12.75">
      <c r="A38" s="18">
        <v>0.3299999999999994</v>
      </c>
      <c r="B38" s="18">
        <v>0.21666666666666667</v>
      </c>
    </row>
    <row r="39" spans="1:2" ht="12.75">
      <c r="A39" s="18">
        <v>0.3399999999999994</v>
      </c>
      <c r="B39" s="18">
        <v>0.225</v>
      </c>
    </row>
    <row r="40" spans="1:2" ht="12.75">
      <c r="A40" s="18">
        <v>0.3499999999999994</v>
      </c>
      <c r="B40" s="18">
        <v>0.23333333333333334</v>
      </c>
    </row>
    <row r="41" spans="1:2" ht="12.75">
      <c r="A41" s="18">
        <v>0.35999999999999943</v>
      </c>
      <c r="B41" s="18">
        <v>0.24166666666666667</v>
      </c>
    </row>
    <row r="42" spans="1:2" ht="12.75">
      <c r="A42" s="18">
        <v>0.36999999999999944</v>
      </c>
      <c r="B42">
        <v>0.25</v>
      </c>
    </row>
    <row r="43" spans="1:2" ht="12.75">
      <c r="A43" s="18">
        <v>0.37999999999999945</v>
      </c>
      <c r="B43" s="18">
        <v>0.2659999999999998</v>
      </c>
    </row>
    <row r="44" spans="1:2" ht="12.75">
      <c r="A44" s="18">
        <v>0.38999999999999946</v>
      </c>
      <c r="B44" s="18">
        <v>0.2789999999999998</v>
      </c>
    </row>
    <row r="45" spans="1:2" ht="12.75">
      <c r="A45" s="18">
        <v>0.39999999999999947</v>
      </c>
      <c r="B45" s="18">
        <v>0.2919999999999998</v>
      </c>
    </row>
    <row r="46" spans="1:2" ht="12.75">
      <c r="A46" s="18">
        <v>0.40999999999999</v>
      </c>
      <c r="B46" s="18">
        <v>0.305</v>
      </c>
    </row>
    <row r="47" spans="1:2" ht="12.75">
      <c r="A47" s="18">
        <v>0.419999999999999</v>
      </c>
      <c r="B47" s="18">
        <v>0.31799999999999984</v>
      </c>
    </row>
    <row r="48" spans="1:2" ht="12.75">
      <c r="A48" s="18">
        <v>0.429999999999999</v>
      </c>
      <c r="B48" s="18">
        <v>0.33099999999999985</v>
      </c>
    </row>
    <row r="49" spans="1:2" ht="12.75">
      <c r="A49" s="18">
        <v>0.439999999999999</v>
      </c>
      <c r="B49" s="18">
        <v>0.34399999999999986</v>
      </c>
    </row>
    <row r="50" spans="1:2" ht="12.75">
      <c r="A50" s="18">
        <v>0.449999999999999</v>
      </c>
      <c r="B50" s="18">
        <v>0.3569999999999999</v>
      </c>
    </row>
    <row r="51" spans="1:2" ht="12.75">
      <c r="A51" s="18">
        <v>0.459999999999999</v>
      </c>
      <c r="B51" s="18">
        <v>0.37</v>
      </c>
    </row>
    <row r="52" spans="1:2" ht="12.75">
      <c r="A52" s="18">
        <v>0.469999999999999</v>
      </c>
      <c r="B52" s="18">
        <v>0.3829999999999999</v>
      </c>
    </row>
    <row r="53" spans="1:2" ht="12.75">
      <c r="A53" s="18">
        <v>0.479999999999999</v>
      </c>
      <c r="B53" s="18">
        <v>0.3959999999999999</v>
      </c>
    </row>
    <row r="54" spans="1:2" ht="12.75">
      <c r="A54" s="18">
        <v>0.489999999999999</v>
      </c>
      <c r="B54" s="18">
        <v>0.4089999999999999</v>
      </c>
    </row>
    <row r="55" spans="1:2" ht="12.75">
      <c r="A55" s="18">
        <v>0.499999999999999</v>
      </c>
      <c r="B55" s="18">
        <v>0.42199999999999993</v>
      </c>
    </row>
    <row r="56" spans="1:2" ht="12.75">
      <c r="A56" s="18">
        <v>0.509999999999999</v>
      </c>
      <c r="B56" s="18">
        <v>0.435</v>
      </c>
    </row>
    <row r="57" spans="1:2" ht="12.75">
      <c r="A57" s="18">
        <v>0.519999999999999</v>
      </c>
      <c r="B57" s="18">
        <v>0.44799999999999995</v>
      </c>
    </row>
    <row r="58" spans="1:2" ht="12.75">
      <c r="A58" s="18">
        <v>0.529999999999999</v>
      </c>
      <c r="B58" s="18">
        <v>0.46099999999999997</v>
      </c>
    </row>
    <row r="59" spans="1:2" ht="12.75">
      <c r="A59" s="18">
        <v>0.539999999999999</v>
      </c>
      <c r="B59" s="18">
        <v>0.474</v>
      </c>
    </row>
    <row r="60" spans="1:2" ht="12.75">
      <c r="A60" s="18">
        <v>0.549999999999999</v>
      </c>
      <c r="B60" s="18">
        <v>0.487</v>
      </c>
    </row>
    <row r="61" spans="1:2" ht="12.75">
      <c r="A61" s="18">
        <v>0.559999999999999</v>
      </c>
      <c r="B61" s="18">
        <v>0.5</v>
      </c>
    </row>
    <row r="62" spans="1:2" ht="12.75">
      <c r="A62" s="18">
        <v>0.569999999999999</v>
      </c>
      <c r="B62" s="18">
        <v>0.5219999999999998</v>
      </c>
    </row>
    <row r="63" spans="1:2" ht="12.75">
      <c r="A63" s="18">
        <v>0.579999999999999</v>
      </c>
      <c r="B63" s="18">
        <v>0.5409999999999998</v>
      </c>
    </row>
    <row r="64" spans="1:2" ht="12.75">
      <c r="A64" s="18">
        <v>0.589999999999999</v>
      </c>
      <c r="B64" s="18">
        <v>0.56</v>
      </c>
    </row>
    <row r="65" spans="1:2" ht="12.75">
      <c r="A65" s="18">
        <v>0.599999999999999</v>
      </c>
      <c r="B65" s="18">
        <v>0.5789999999999998</v>
      </c>
    </row>
    <row r="66" spans="1:2" ht="12.75">
      <c r="A66" s="18">
        <v>0.609999999999999</v>
      </c>
      <c r="B66" s="18">
        <v>0.5979999999999999</v>
      </c>
    </row>
    <row r="67" spans="1:2" ht="12.75">
      <c r="A67" s="18">
        <v>0.619999999999999</v>
      </c>
      <c r="B67" s="18">
        <v>0.6169999999999999</v>
      </c>
    </row>
    <row r="68" spans="1:2" ht="12.75">
      <c r="A68" s="18">
        <v>0.629999999999999</v>
      </c>
      <c r="B68" s="18">
        <v>0.6359999999999999</v>
      </c>
    </row>
    <row r="69" spans="1:2" ht="12.75">
      <c r="A69" s="18">
        <v>0.639999999999999</v>
      </c>
      <c r="B69" s="18">
        <v>0.655</v>
      </c>
    </row>
    <row r="70" spans="1:2" ht="12.75">
      <c r="A70" s="18">
        <v>0.649999999999999</v>
      </c>
      <c r="B70" s="18">
        <v>0.6739999999999999</v>
      </c>
    </row>
    <row r="71" spans="1:2" ht="12.75">
      <c r="A71" s="18">
        <v>0.659999999999999</v>
      </c>
      <c r="B71" s="18">
        <v>0.693</v>
      </c>
    </row>
    <row r="72" spans="1:2" ht="12.75">
      <c r="A72" s="18">
        <v>0.669999999999999</v>
      </c>
      <c r="B72" s="18">
        <v>0.712</v>
      </c>
    </row>
    <row r="73" spans="1:2" ht="12.75">
      <c r="A73" s="18">
        <v>0.679999999999999</v>
      </c>
      <c r="B73" s="18">
        <v>0.731</v>
      </c>
    </row>
    <row r="74" spans="1:2" ht="12.75">
      <c r="A74" s="18">
        <v>0.689999999999999</v>
      </c>
      <c r="B74" s="18">
        <v>0.75</v>
      </c>
    </row>
    <row r="75" spans="1:2" ht="12.75">
      <c r="A75" s="18">
        <v>0.699999999999999</v>
      </c>
      <c r="B75" s="18">
        <v>0.7759999999999998</v>
      </c>
    </row>
    <row r="76" spans="1:2" ht="12.75">
      <c r="A76" s="18">
        <v>0.71</v>
      </c>
      <c r="B76" s="18">
        <v>0.8039999999999998</v>
      </c>
    </row>
    <row r="77" spans="1:2" ht="12.75">
      <c r="A77" s="18">
        <v>0.719999999999999</v>
      </c>
      <c r="B77" s="18">
        <v>0.8319999999999999</v>
      </c>
    </row>
    <row r="78" spans="1:2" ht="12.75">
      <c r="A78" s="18">
        <v>0.729999999999999</v>
      </c>
      <c r="B78" s="18">
        <v>0.86</v>
      </c>
    </row>
    <row r="79" spans="1:2" ht="12.75">
      <c r="A79" s="18">
        <v>0.739999999999999</v>
      </c>
      <c r="B79" s="18">
        <v>0.8879999999999999</v>
      </c>
    </row>
    <row r="80" spans="1:2" ht="12.75">
      <c r="A80" s="18">
        <v>0.749999999999999</v>
      </c>
      <c r="B80" s="18">
        <v>0.9159999999999999</v>
      </c>
    </row>
    <row r="81" spans="1:2" ht="12.75">
      <c r="A81" s="18">
        <v>0.759999999999999</v>
      </c>
      <c r="B81" s="18">
        <v>0.944</v>
      </c>
    </row>
    <row r="82" spans="1:2" ht="12.75">
      <c r="A82" s="18">
        <v>0.769999999999999</v>
      </c>
      <c r="B82" s="18">
        <v>0.972</v>
      </c>
    </row>
    <row r="83" spans="1:2" ht="12.75">
      <c r="A83" s="18">
        <v>0.779999999999999</v>
      </c>
      <c r="B83" s="18">
        <v>1</v>
      </c>
    </row>
    <row r="84" spans="1:2" ht="12.75">
      <c r="A84" s="18">
        <v>0.789999999999999</v>
      </c>
      <c r="B84" s="18">
        <v>1.04</v>
      </c>
    </row>
    <row r="85" spans="1:2" ht="12.75">
      <c r="A85" s="18">
        <v>0.799999999999999</v>
      </c>
      <c r="B85" s="18">
        <v>1.08</v>
      </c>
    </row>
    <row r="86" spans="1:2" ht="12.75">
      <c r="A86" s="18">
        <v>0.809999999999999</v>
      </c>
      <c r="B86" s="18">
        <v>1.12</v>
      </c>
    </row>
    <row r="87" spans="1:2" ht="12.75">
      <c r="A87" s="18">
        <v>0.819999999999999</v>
      </c>
      <c r="B87" s="18">
        <v>1.16</v>
      </c>
    </row>
    <row r="88" spans="1:2" ht="12.75">
      <c r="A88" s="18">
        <v>0.829999999999999</v>
      </c>
      <c r="B88" s="18">
        <v>1.2</v>
      </c>
    </row>
    <row r="89" spans="1:2" ht="12.75">
      <c r="A89" s="18">
        <v>0.839999999999999</v>
      </c>
      <c r="B89" s="18">
        <v>1.26</v>
      </c>
    </row>
    <row r="90" spans="1:2" ht="12.75">
      <c r="A90" s="18">
        <v>0.849999999999999</v>
      </c>
      <c r="B90" s="18">
        <v>1.32</v>
      </c>
    </row>
    <row r="91" spans="1:2" ht="12.75">
      <c r="A91" s="18">
        <v>0.859999999999999</v>
      </c>
      <c r="B91" s="18">
        <v>1.38</v>
      </c>
    </row>
    <row r="92" spans="1:2" ht="12.75">
      <c r="A92" s="18">
        <v>0.869999999999999</v>
      </c>
      <c r="B92" s="18">
        <v>1.44</v>
      </c>
    </row>
    <row r="93" spans="1:2" ht="12.75">
      <c r="A93" s="18">
        <v>0.879999999999999</v>
      </c>
      <c r="B93" s="18">
        <v>1.5</v>
      </c>
    </row>
    <row r="94" spans="1:2" ht="12.75">
      <c r="A94" s="18">
        <v>0.889999999999999</v>
      </c>
      <c r="B94" s="18">
        <v>1.6</v>
      </c>
    </row>
    <row r="95" spans="1:2" ht="12.75">
      <c r="A95" s="18">
        <v>0.899999999999999</v>
      </c>
      <c r="B95" s="18">
        <v>1.7</v>
      </c>
    </row>
    <row r="96" spans="1:2" ht="12.75">
      <c r="A96" s="18">
        <v>0.909999999999999</v>
      </c>
      <c r="B96" s="18">
        <v>1.8</v>
      </c>
    </row>
    <row r="97" spans="1:2" ht="12.75">
      <c r="A97" s="18">
        <v>0.919999999999999</v>
      </c>
      <c r="B97" s="18">
        <v>2</v>
      </c>
    </row>
    <row r="98" spans="1:2" ht="12.75">
      <c r="A98" s="18">
        <v>0.929999999999999</v>
      </c>
      <c r="B98" s="18">
        <v>2.2</v>
      </c>
    </row>
    <row r="99" spans="1:2" ht="12.75">
      <c r="A99" s="18">
        <v>0.939999999999999</v>
      </c>
      <c r="B99" s="18">
        <v>2.4</v>
      </c>
    </row>
    <row r="100" spans="1:2" ht="12.75">
      <c r="A100" s="18">
        <v>0.949999999999999</v>
      </c>
      <c r="B100" s="18">
        <v>2.6</v>
      </c>
    </row>
    <row r="101" spans="1:2" ht="12.75">
      <c r="A101" s="18">
        <v>0.959999999999999</v>
      </c>
      <c r="B101" s="18">
        <v>2.8</v>
      </c>
    </row>
    <row r="102" spans="1:2" ht="12.75">
      <c r="A102" s="18">
        <v>0.969999999999999</v>
      </c>
      <c r="B102" s="18">
        <v>3</v>
      </c>
    </row>
    <row r="103" spans="1:2" ht="12.75">
      <c r="A103" s="18">
        <v>0.979999999999999</v>
      </c>
      <c r="B103" s="18">
        <v>3.33</v>
      </c>
    </row>
    <row r="104" spans="1:2" ht="12.75">
      <c r="A104" s="18">
        <v>0.989999999999999</v>
      </c>
      <c r="B104" s="18">
        <v>3.66</v>
      </c>
    </row>
    <row r="105" spans="1:2" ht="12.75">
      <c r="A105" s="18">
        <v>0.9999999999999</v>
      </c>
      <c r="B105" s="18">
        <v>4</v>
      </c>
    </row>
    <row r="106" spans="1:2" ht="12.75">
      <c r="A106" s="18"/>
      <c r="B106" s="18"/>
    </row>
    <row r="107" spans="1:2" ht="12.75">
      <c r="A107" s="18"/>
      <c r="B107" s="18"/>
    </row>
    <row r="108" spans="1:2" ht="12.75">
      <c r="A108" s="18"/>
      <c r="B108" s="18"/>
    </row>
    <row r="109" spans="1:2" ht="12.75">
      <c r="A109" s="18"/>
      <c r="B109" s="18"/>
    </row>
    <row r="110" spans="1:2" ht="12.75">
      <c r="A110" s="18"/>
      <c r="B110" s="18"/>
    </row>
    <row r="111" spans="1:2" ht="12.75">
      <c r="A111" s="18"/>
      <c r="B111" s="1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5"/>
  <sheetViews>
    <sheetView workbookViewId="0" topLeftCell="A1">
      <selection activeCell="A1" sqref="A1:A13"/>
    </sheetView>
  </sheetViews>
  <sheetFormatPr defaultColWidth="9.140625" defaultRowHeight="12.75"/>
  <cols>
    <col min="1" max="1" width="11.57421875" style="0" customWidth="1"/>
    <col min="2" max="2" width="19.8515625" style="0" customWidth="1"/>
    <col min="3" max="3" width="10.8515625" style="0" customWidth="1"/>
    <col min="4" max="4" width="17.8515625" style="0" customWidth="1"/>
    <col min="5" max="5" width="19.421875" style="0" customWidth="1"/>
    <col min="7" max="7" width="19.421875" style="0" customWidth="1"/>
    <col min="8" max="8" width="19.57421875" style="0" customWidth="1"/>
    <col min="9" max="9" width="14.28125" style="0" customWidth="1"/>
  </cols>
  <sheetData>
    <row r="1" spans="1:3" ht="12.75">
      <c r="A1" s="21" t="s">
        <v>234</v>
      </c>
      <c r="B1" s="26">
        <v>95</v>
      </c>
      <c r="C1" s="26"/>
    </row>
    <row r="2" spans="1:3" ht="12.75">
      <c r="A2" s="21" t="s">
        <v>39</v>
      </c>
      <c r="B2" s="26">
        <v>89</v>
      </c>
      <c r="C2" s="26"/>
    </row>
    <row r="3" spans="1:3" ht="12.75">
      <c r="A3" s="21" t="s">
        <v>40</v>
      </c>
      <c r="B3" s="26">
        <v>83</v>
      </c>
      <c r="C3" s="26"/>
    </row>
    <row r="4" spans="1:3" ht="12.75">
      <c r="A4" s="21" t="s">
        <v>41</v>
      </c>
      <c r="B4" s="26">
        <v>93</v>
      </c>
      <c r="C4" s="26"/>
    </row>
    <row r="5" spans="1:3" ht="12.75">
      <c r="A5" s="21" t="s">
        <v>42</v>
      </c>
      <c r="B5" s="26">
        <v>75</v>
      </c>
      <c r="C5" s="26"/>
    </row>
    <row r="6" spans="1:3" ht="12.75">
      <c r="A6" s="21" t="s">
        <v>43</v>
      </c>
      <c r="B6" s="26">
        <v>70</v>
      </c>
      <c r="C6" s="26"/>
    </row>
    <row r="7" spans="1:3" ht="12.75">
      <c r="A7" s="21" t="s">
        <v>44</v>
      </c>
      <c r="B7" s="26">
        <v>100</v>
      </c>
      <c r="C7" s="26"/>
    </row>
    <row r="8" spans="1:3" ht="12.75">
      <c r="A8" s="21" t="s">
        <v>45</v>
      </c>
      <c r="B8" s="26">
        <v>89</v>
      </c>
      <c r="C8" s="26"/>
    </row>
    <row r="9" spans="1:3" ht="12.75">
      <c r="A9" s="21" t="s">
        <v>252</v>
      </c>
      <c r="B9" s="26">
        <v>0</v>
      </c>
      <c r="C9" s="26"/>
    </row>
    <row r="10" spans="1:3" ht="12.75">
      <c r="A10" s="21" t="s">
        <v>235</v>
      </c>
      <c r="B10" s="26">
        <v>85</v>
      </c>
      <c r="C10" s="26"/>
    </row>
    <row r="11" spans="1:3" ht="12.75">
      <c r="A11" s="21" t="s">
        <v>253</v>
      </c>
      <c r="B11" s="26">
        <v>0</v>
      </c>
      <c r="C11" s="26"/>
    </row>
    <row r="12" spans="1:3" ht="12.75">
      <c r="A12" s="21" t="s">
        <v>46</v>
      </c>
      <c r="B12" s="26">
        <v>93</v>
      </c>
      <c r="C12" s="26"/>
    </row>
    <row r="13" spans="1:3" ht="12.75">
      <c r="A13" s="21" t="s">
        <v>47</v>
      </c>
      <c r="B13" s="26">
        <v>0</v>
      </c>
      <c r="C13" s="26"/>
    </row>
    <row r="22" spans="1:8" ht="12.75">
      <c r="A22" t="s">
        <v>270</v>
      </c>
      <c r="H22" t="s">
        <v>304</v>
      </c>
    </row>
    <row r="23" spans="6:7" ht="13.5" thickBot="1">
      <c r="F23" s="27"/>
      <c r="G23" s="27"/>
    </row>
    <row r="24" spans="1:12" ht="13.5" thickBot="1">
      <c r="A24" s="132" t="s">
        <v>254</v>
      </c>
      <c r="B24" s="133"/>
      <c r="D24" s="132" t="s">
        <v>255</v>
      </c>
      <c r="E24" s="134"/>
      <c r="F24" s="28"/>
      <c r="H24" s="132" t="s">
        <v>254</v>
      </c>
      <c r="I24" s="133"/>
      <c r="K24" s="132" t="s">
        <v>255</v>
      </c>
      <c r="L24" s="134"/>
    </row>
    <row r="25" spans="1:12" ht="13.5" thickBot="1">
      <c r="A25" s="29" t="s">
        <v>256</v>
      </c>
      <c r="B25" s="29" t="s">
        <v>257</v>
      </c>
      <c r="D25" s="31" t="s">
        <v>257</v>
      </c>
      <c r="E25" s="32" t="s">
        <v>258</v>
      </c>
      <c r="F25" s="30"/>
      <c r="H25" s="49" t="s">
        <v>256</v>
      </c>
      <c r="I25" s="49" t="s">
        <v>299</v>
      </c>
      <c r="K25" s="31" t="s">
        <v>299</v>
      </c>
      <c r="L25" s="32" t="s">
        <v>258</v>
      </c>
    </row>
    <row r="26" spans="1:12" ht="12.75">
      <c r="A26" s="33">
        <v>0</v>
      </c>
      <c r="B26" s="34" t="s">
        <v>259</v>
      </c>
      <c r="D26" s="36">
        <v>0</v>
      </c>
      <c r="E26" s="34">
        <v>0</v>
      </c>
      <c r="F26" s="35"/>
      <c r="H26" s="37">
        <v>0</v>
      </c>
      <c r="I26" s="38" t="s">
        <v>288</v>
      </c>
      <c r="K26" s="36">
        <v>0</v>
      </c>
      <c r="L26" s="34">
        <v>0</v>
      </c>
    </row>
    <row r="27" spans="1:12" ht="12.75">
      <c r="A27" s="37">
        <v>0.08</v>
      </c>
      <c r="B27" s="38" t="s">
        <v>261</v>
      </c>
      <c r="D27" s="40">
        <v>900</v>
      </c>
      <c r="E27" s="38">
        <v>28.27</v>
      </c>
      <c r="F27" s="35"/>
      <c r="H27" s="37">
        <v>0.1</v>
      </c>
      <c r="I27" s="38" t="s">
        <v>289</v>
      </c>
      <c r="K27" s="39" t="s">
        <v>260</v>
      </c>
      <c r="L27" s="38">
        <v>0</v>
      </c>
    </row>
    <row r="28" spans="1:12" ht="12.75">
      <c r="A28" s="37">
        <v>0.16</v>
      </c>
      <c r="B28" s="38" t="s">
        <v>262</v>
      </c>
      <c r="D28" s="40">
        <v>1200</v>
      </c>
      <c r="E28" s="38">
        <v>28.27</v>
      </c>
      <c r="F28" s="35"/>
      <c r="H28" s="37">
        <v>0.17</v>
      </c>
      <c r="I28" s="38" t="s">
        <v>290</v>
      </c>
      <c r="K28" s="40" t="s">
        <v>288</v>
      </c>
      <c r="L28" s="38">
        <v>7.1</v>
      </c>
    </row>
    <row r="29" spans="1:12" ht="12.75">
      <c r="A29" s="37">
        <v>0.29</v>
      </c>
      <c r="B29" s="38" t="s">
        <v>263</v>
      </c>
      <c r="D29" s="40">
        <v>1800</v>
      </c>
      <c r="E29" s="38">
        <v>28.27</v>
      </c>
      <c r="F29" s="35"/>
      <c r="H29" s="37">
        <v>0.27</v>
      </c>
      <c r="I29" s="38" t="s">
        <v>291</v>
      </c>
      <c r="K29" s="40" t="s">
        <v>295</v>
      </c>
      <c r="L29" s="38">
        <v>78.54</v>
      </c>
    </row>
    <row r="30" spans="1:12" ht="12.75">
      <c r="A30" s="37">
        <v>0.46</v>
      </c>
      <c r="B30" s="38">
        <v>7200</v>
      </c>
      <c r="D30" s="39">
        <v>2400</v>
      </c>
      <c r="E30" s="42">
        <v>50.27</v>
      </c>
      <c r="F30" s="35"/>
      <c r="H30" s="37">
        <v>0.4</v>
      </c>
      <c r="I30" s="38" t="s">
        <v>292</v>
      </c>
      <c r="K30" s="40" t="s">
        <v>297</v>
      </c>
      <c r="L30" s="38">
        <v>132.7</v>
      </c>
    </row>
    <row r="31" spans="1:12" ht="12.75">
      <c r="A31" s="41">
        <v>0.66</v>
      </c>
      <c r="B31" s="42" t="s">
        <v>264</v>
      </c>
      <c r="D31" s="39">
        <v>3600</v>
      </c>
      <c r="E31" s="38">
        <v>50.27</v>
      </c>
      <c r="F31" s="43"/>
      <c r="H31" s="41">
        <v>0.54</v>
      </c>
      <c r="I31" s="38" t="s">
        <v>293</v>
      </c>
      <c r="K31" s="40" t="s">
        <v>298</v>
      </c>
      <c r="L31" s="38">
        <v>153.9</v>
      </c>
    </row>
    <row r="32" spans="1:12" ht="12.75">
      <c r="A32" s="37">
        <v>0.92</v>
      </c>
      <c r="B32" s="38">
        <v>16000</v>
      </c>
      <c r="D32" s="39">
        <v>4800</v>
      </c>
      <c r="E32" s="38">
        <v>78.54</v>
      </c>
      <c r="F32" s="35"/>
      <c r="H32" s="37">
        <v>0.71</v>
      </c>
      <c r="I32" s="38" t="s">
        <v>294</v>
      </c>
      <c r="K32" s="40" t="s">
        <v>296</v>
      </c>
      <c r="L32" s="38">
        <v>113.1</v>
      </c>
    </row>
    <row r="33" spans="1:12" ht="13.5" thickBot="1">
      <c r="A33" s="44">
        <v>1.321</v>
      </c>
      <c r="B33" s="45" t="s">
        <v>260</v>
      </c>
      <c r="D33" s="39">
        <v>6000</v>
      </c>
      <c r="E33" s="38">
        <v>78.54</v>
      </c>
      <c r="F33" s="27"/>
      <c r="H33" s="41">
        <v>0.9</v>
      </c>
      <c r="I33" s="38" t="s">
        <v>295</v>
      </c>
      <c r="K33" s="40" t="s">
        <v>289</v>
      </c>
      <c r="L33" s="38">
        <v>12.57</v>
      </c>
    </row>
    <row r="34" spans="4:12" ht="12.75">
      <c r="D34" s="39">
        <v>7200</v>
      </c>
      <c r="E34" s="38">
        <v>113.1</v>
      </c>
      <c r="F34" s="27"/>
      <c r="H34" s="37">
        <v>1.11</v>
      </c>
      <c r="I34" s="38" t="s">
        <v>296</v>
      </c>
      <c r="K34" s="40" t="s">
        <v>290</v>
      </c>
      <c r="L34" s="38">
        <v>19.63</v>
      </c>
    </row>
    <row r="35" spans="4:12" ht="12.75">
      <c r="D35" s="39">
        <v>11000</v>
      </c>
      <c r="E35" s="38">
        <v>157.08</v>
      </c>
      <c r="F35" s="27"/>
      <c r="H35" s="37">
        <v>1.6</v>
      </c>
      <c r="I35" s="38" t="s">
        <v>297</v>
      </c>
      <c r="K35" s="40" t="s">
        <v>291</v>
      </c>
      <c r="L35" s="38">
        <v>28.27</v>
      </c>
    </row>
    <row r="36" spans="4:12" ht="12.75">
      <c r="D36" s="39">
        <v>13000</v>
      </c>
      <c r="E36" s="38">
        <v>157.08</v>
      </c>
      <c r="F36" s="27"/>
      <c r="H36" s="37">
        <v>1.88</v>
      </c>
      <c r="I36" s="38" t="s">
        <v>298</v>
      </c>
      <c r="K36" s="40" t="s">
        <v>292</v>
      </c>
      <c r="L36" s="42">
        <v>38.48</v>
      </c>
    </row>
    <row r="37" spans="4:12" ht="13.5" thickBot="1">
      <c r="D37" s="39">
        <v>16000</v>
      </c>
      <c r="E37" s="38">
        <v>226.19</v>
      </c>
      <c r="F37" s="27"/>
      <c r="H37" s="64">
        <v>2.18</v>
      </c>
      <c r="I37" s="45" t="s">
        <v>260</v>
      </c>
      <c r="K37" s="40" t="s">
        <v>293</v>
      </c>
      <c r="L37" s="38">
        <v>50.27</v>
      </c>
    </row>
    <row r="38" spans="4:12" ht="13.5" thickBot="1">
      <c r="D38" s="40" t="s">
        <v>259</v>
      </c>
      <c r="E38" s="38">
        <v>12.57</v>
      </c>
      <c r="H38" s="18"/>
      <c r="K38" s="63" t="s">
        <v>294</v>
      </c>
      <c r="L38" s="47">
        <v>63.62</v>
      </c>
    </row>
    <row r="39" spans="4:5" ht="13.5" thickBot="1">
      <c r="D39" s="46" t="s">
        <v>260</v>
      </c>
      <c r="E39" s="47">
        <v>0</v>
      </c>
    </row>
    <row r="40" spans="6:13" ht="13.5" thickBot="1">
      <c r="F40" s="27"/>
      <c r="J40" s="28"/>
      <c r="K40" s="28"/>
      <c r="L40" s="28"/>
      <c r="M40" s="28"/>
    </row>
    <row r="41" spans="1:13" ht="42" customHeight="1">
      <c r="A41" s="135" t="s">
        <v>265</v>
      </c>
      <c r="B41" s="136"/>
      <c r="C41" s="28"/>
      <c r="D41" s="137"/>
      <c r="E41" s="138"/>
      <c r="F41" s="27"/>
      <c r="G41" s="27"/>
      <c r="H41" s="135" t="s">
        <v>265</v>
      </c>
      <c r="I41" s="136"/>
      <c r="J41" s="28"/>
      <c r="K41" s="137"/>
      <c r="L41" s="138"/>
      <c r="M41" s="28"/>
    </row>
    <row r="42" spans="1:13" ht="13.5" customHeight="1" thickBot="1">
      <c r="A42" s="54" t="s">
        <v>266</v>
      </c>
      <c r="B42" s="55" t="s">
        <v>267</v>
      </c>
      <c r="C42" s="28"/>
      <c r="D42" s="28"/>
      <c r="E42" s="28"/>
      <c r="F42" s="48"/>
      <c r="H42" s="54" t="s">
        <v>266</v>
      </c>
      <c r="I42" s="55" t="s">
        <v>267</v>
      </c>
      <c r="J42" s="28"/>
      <c r="K42" s="28"/>
      <c r="L42" s="28"/>
      <c r="M42" s="28"/>
    </row>
    <row r="43" spans="1:13" ht="13.5" thickBot="1">
      <c r="A43" s="65">
        <v>0.000121</v>
      </c>
      <c r="B43" s="66">
        <v>1</v>
      </c>
      <c r="C43" s="28"/>
      <c r="D43" s="51"/>
      <c r="E43" s="52"/>
      <c r="F43" s="48"/>
      <c r="H43" s="56">
        <v>0.0008</v>
      </c>
      <c r="I43" s="57">
        <v>0.99</v>
      </c>
      <c r="J43" s="28"/>
      <c r="K43" s="53"/>
      <c r="L43" s="52"/>
      <c r="M43" s="28"/>
    </row>
    <row r="44" spans="1:13" ht="12.75">
      <c r="A44" s="67">
        <v>0.00024</v>
      </c>
      <c r="B44" s="57">
        <v>0.99</v>
      </c>
      <c r="C44" s="28"/>
      <c r="D44" s="51"/>
      <c r="E44" s="52"/>
      <c r="H44" s="58">
        <v>0.0016</v>
      </c>
      <c r="I44" s="59">
        <v>0.98</v>
      </c>
      <c r="J44" s="28"/>
      <c r="K44" s="53"/>
      <c r="L44" s="52"/>
      <c r="M44" s="28"/>
    </row>
    <row r="45" spans="1:13" ht="12.75">
      <c r="A45" s="68">
        <v>0.000358</v>
      </c>
      <c r="B45" s="59">
        <v>0.98</v>
      </c>
      <c r="C45" s="28"/>
      <c r="D45" s="51"/>
      <c r="E45" s="52"/>
      <c r="H45" s="58">
        <v>0.0023</v>
      </c>
      <c r="I45" s="59">
        <v>0.97</v>
      </c>
      <c r="J45" s="28"/>
      <c r="K45" s="53"/>
      <c r="L45" s="52"/>
      <c r="M45" s="28"/>
    </row>
    <row r="46" spans="1:13" ht="12.75">
      <c r="A46" s="68">
        <v>0.000477</v>
      </c>
      <c r="B46" s="59">
        <v>0.97</v>
      </c>
      <c r="C46" s="28"/>
      <c r="D46" s="51"/>
      <c r="E46" s="52"/>
      <c r="H46" s="58">
        <v>0.0031</v>
      </c>
      <c r="I46" s="59">
        <v>0.96</v>
      </c>
      <c r="J46" s="28"/>
      <c r="K46" s="53"/>
      <c r="L46" s="52"/>
      <c r="M46" s="28"/>
    </row>
    <row r="47" spans="1:13" ht="12.75">
      <c r="A47" s="68">
        <v>0.000595</v>
      </c>
      <c r="B47" s="59">
        <v>0.96</v>
      </c>
      <c r="C47" s="28"/>
      <c r="D47" s="51"/>
      <c r="E47" s="52"/>
      <c r="H47" s="58">
        <v>0.0039</v>
      </c>
      <c r="I47" s="59">
        <v>0.95</v>
      </c>
      <c r="J47" s="28"/>
      <c r="K47" s="53"/>
      <c r="L47" s="52"/>
      <c r="M47" s="28"/>
    </row>
    <row r="48" spans="1:13" ht="12.75">
      <c r="A48" s="68">
        <v>0.000713</v>
      </c>
      <c r="B48" s="59">
        <v>0.95</v>
      </c>
      <c r="C48" s="28"/>
      <c r="D48" s="51"/>
      <c r="E48" s="52"/>
      <c r="H48" s="58">
        <v>0.0047</v>
      </c>
      <c r="I48" s="59">
        <v>0.94</v>
      </c>
      <c r="J48" s="28"/>
      <c r="K48" s="53"/>
      <c r="L48" s="52"/>
      <c r="M48" s="28"/>
    </row>
    <row r="49" spans="1:13" ht="12.75">
      <c r="A49" s="68">
        <v>0.000963</v>
      </c>
      <c r="B49" s="59">
        <v>0.94</v>
      </c>
      <c r="C49" s="28"/>
      <c r="D49" s="51"/>
      <c r="E49" s="52"/>
      <c r="H49" s="58">
        <v>0.0055</v>
      </c>
      <c r="I49" s="59">
        <v>0.93</v>
      </c>
      <c r="J49" s="28"/>
      <c r="K49" s="53"/>
      <c r="L49" s="52"/>
      <c r="M49" s="28"/>
    </row>
    <row r="50" spans="1:13" ht="12.75">
      <c r="A50" s="68">
        <v>0.00121</v>
      </c>
      <c r="B50" s="59">
        <v>0.93</v>
      </c>
      <c r="C50" s="28"/>
      <c r="D50" s="51"/>
      <c r="E50" s="52"/>
      <c r="H50" s="58">
        <v>0.0062</v>
      </c>
      <c r="I50" s="59">
        <v>0.92</v>
      </c>
      <c r="J50" s="28"/>
      <c r="K50" s="53"/>
      <c r="L50" s="52"/>
      <c r="M50" s="28"/>
    </row>
    <row r="51" spans="1:13" ht="12.75">
      <c r="A51" s="68">
        <v>0.00146</v>
      </c>
      <c r="B51" s="59">
        <v>0.92</v>
      </c>
      <c r="C51" s="28"/>
      <c r="D51" s="51"/>
      <c r="E51" s="52"/>
      <c r="H51" s="58">
        <v>0.007</v>
      </c>
      <c r="I51" s="59">
        <v>0.91</v>
      </c>
      <c r="J51" s="28"/>
      <c r="K51" s="53"/>
      <c r="L51" s="52"/>
      <c r="M51" s="28"/>
    </row>
    <row r="52" spans="1:13" ht="12.75">
      <c r="A52" s="68">
        <v>0.00171</v>
      </c>
      <c r="B52" s="59">
        <v>0.91</v>
      </c>
      <c r="C52" s="28"/>
      <c r="D52" s="51"/>
      <c r="E52" s="52"/>
      <c r="H52" s="58">
        <v>0.0078</v>
      </c>
      <c r="I52" s="59">
        <v>0.9</v>
      </c>
      <c r="J52" s="28"/>
      <c r="K52" s="53"/>
      <c r="L52" s="52"/>
      <c r="M52" s="28"/>
    </row>
    <row r="53" spans="1:13" ht="12.75">
      <c r="A53" s="68">
        <v>0.00196</v>
      </c>
      <c r="B53" s="59">
        <v>0.9</v>
      </c>
      <c r="C53" s="28"/>
      <c r="D53" s="51"/>
      <c r="E53" s="52"/>
      <c r="H53" s="58">
        <v>0.0086</v>
      </c>
      <c r="I53" s="59">
        <v>0.89</v>
      </c>
      <c r="J53" s="28"/>
      <c r="K53" s="53"/>
      <c r="L53" s="52"/>
      <c r="M53" s="28"/>
    </row>
    <row r="54" spans="1:13" ht="12.75">
      <c r="A54" s="68">
        <v>0.00228</v>
      </c>
      <c r="B54" s="59">
        <v>0.89</v>
      </c>
      <c r="C54" s="28"/>
      <c r="D54" s="51"/>
      <c r="E54" s="52"/>
      <c r="H54" s="60">
        <v>0.0094</v>
      </c>
      <c r="I54" s="59">
        <v>0.88</v>
      </c>
      <c r="J54" s="28"/>
      <c r="K54" s="53"/>
      <c r="L54" s="52"/>
      <c r="M54" s="28"/>
    </row>
    <row r="55" spans="1:13" ht="12.75">
      <c r="A55" s="69">
        <v>0.002602</v>
      </c>
      <c r="B55" s="59">
        <v>0.88</v>
      </c>
      <c r="C55" s="28"/>
      <c r="D55" s="51"/>
      <c r="E55" s="52"/>
      <c r="H55" s="58">
        <v>0.0101</v>
      </c>
      <c r="I55" s="59">
        <v>0.87</v>
      </c>
      <c r="J55" s="28"/>
      <c r="K55" s="53"/>
      <c r="L55" s="52"/>
      <c r="M55" s="28"/>
    </row>
    <row r="56" spans="1:13" ht="12.75">
      <c r="A56" s="68">
        <v>0.00292</v>
      </c>
      <c r="B56" s="59">
        <v>0.87</v>
      </c>
      <c r="C56" s="28"/>
      <c r="D56" s="51"/>
      <c r="E56" s="52"/>
      <c r="H56" s="58">
        <v>0.0109</v>
      </c>
      <c r="I56" s="59">
        <v>0.86</v>
      </c>
      <c r="J56" s="28"/>
      <c r="K56" s="53"/>
      <c r="L56" s="52"/>
      <c r="M56" s="28"/>
    </row>
    <row r="57" spans="1:13" ht="12.75">
      <c r="A57" s="68">
        <v>0.00324</v>
      </c>
      <c r="B57" s="59">
        <v>0.86</v>
      </c>
      <c r="C57" s="28"/>
      <c r="D57" s="51"/>
      <c r="E57" s="52"/>
      <c r="H57" s="58">
        <v>0.0117</v>
      </c>
      <c r="I57" s="59">
        <v>0.85</v>
      </c>
      <c r="J57" s="28"/>
      <c r="K57" s="53"/>
      <c r="L57" s="52"/>
      <c r="M57" s="28"/>
    </row>
    <row r="58" spans="1:13" ht="12.75">
      <c r="A58" s="68">
        <v>0.00356</v>
      </c>
      <c r="B58" s="59">
        <v>0.85</v>
      </c>
      <c r="C58" s="28"/>
      <c r="D58" s="51"/>
      <c r="E58" s="52"/>
      <c r="H58" s="58">
        <v>0.0125</v>
      </c>
      <c r="I58" s="59">
        <v>0.84</v>
      </c>
      <c r="J58" s="28"/>
      <c r="K58" s="53"/>
      <c r="L58" s="52"/>
      <c r="M58" s="28"/>
    </row>
    <row r="59" spans="1:13" ht="12.75">
      <c r="A59" s="68">
        <v>0.00401</v>
      </c>
      <c r="B59" s="59">
        <v>0.84</v>
      </c>
      <c r="C59" s="28"/>
      <c r="D59" s="51"/>
      <c r="E59" s="52"/>
      <c r="H59" s="58">
        <v>0.0133</v>
      </c>
      <c r="I59" s="59">
        <v>0.83</v>
      </c>
      <c r="J59" s="28"/>
      <c r="K59" s="53"/>
      <c r="L59" s="52"/>
      <c r="M59" s="28"/>
    </row>
    <row r="60" spans="1:13" ht="12.75">
      <c r="A60" s="68">
        <v>0.00446</v>
      </c>
      <c r="B60" s="59">
        <v>0.83</v>
      </c>
      <c r="C60" s="28"/>
      <c r="D60" s="51"/>
      <c r="E60" s="52"/>
      <c r="H60" s="58">
        <v>0.014</v>
      </c>
      <c r="I60" s="59">
        <v>0.82</v>
      </c>
      <c r="J60" s="28"/>
      <c r="K60" s="53"/>
      <c r="L60" s="52"/>
      <c r="M60" s="28"/>
    </row>
    <row r="61" spans="1:13" ht="12.75">
      <c r="A61" s="68">
        <v>0.00491</v>
      </c>
      <c r="B61" s="59">
        <v>0.82</v>
      </c>
      <c r="C61" s="28"/>
      <c r="D61" s="51"/>
      <c r="E61" s="52"/>
      <c r="H61" s="58">
        <v>0.0148</v>
      </c>
      <c r="I61" s="59">
        <v>0.81</v>
      </c>
      <c r="J61" s="28"/>
      <c r="K61" s="53"/>
      <c r="L61" s="52"/>
      <c r="M61" s="28"/>
    </row>
    <row r="62" spans="1:13" ht="12.75">
      <c r="A62" s="68">
        <v>0.00536</v>
      </c>
      <c r="B62" s="59">
        <v>0.81</v>
      </c>
      <c r="C62" s="28"/>
      <c r="D62" s="51"/>
      <c r="E62" s="52"/>
      <c r="H62" s="58">
        <v>0.0156</v>
      </c>
      <c r="I62" s="59">
        <v>0.8</v>
      </c>
      <c r="J62" s="28"/>
      <c r="K62" s="53"/>
      <c r="L62" s="52"/>
      <c r="M62" s="28"/>
    </row>
    <row r="63" spans="1:13" ht="12.75">
      <c r="A63" s="68">
        <v>0.00581</v>
      </c>
      <c r="B63" s="59">
        <v>0.8</v>
      </c>
      <c r="C63" s="28"/>
      <c r="D63" s="51"/>
      <c r="E63" s="52"/>
      <c r="H63" s="58">
        <v>0.0163</v>
      </c>
      <c r="I63" s="59">
        <v>0.79</v>
      </c>
      <c r="J63" s="28"/>
      <c r="K63" s="53"/>
      <c r="L63" s="52"/>
      <c r="M63" s="28"/>
    </row>
    <row r="64" spans="1:13" ht="12.75">
      <c r="A64" s="68">
        <v>0.00648</v>
      </c>
      <c r="B64" s="59">
        <v>0.79</v>
      </c>
      <c r="C64" s="28"/>
      <c r="D64" s="51"/>
      <c r="E64" s="52"/>
      <c r="H64" s="58">
        <v>0.0169</v>
      </c>
      <c r="I64" s="59">
        <v>0.78</v>
      </c>
      <c r="J64" s="28"/>
      <c r="K64" s="53"/>
      <c r="L64" s="52"/>
      <c r="M64" s="28"/>
    </row>
    <row r="65" spans="1:13" ht="12.75">
      <c r="A65" s="68">
        <v>0.00716</v>
      </c>
      <c r="B65" s="59">
        <v>0.78</v>
      </c>
      <c r="C65" s="28"/>
      <c r="D65" s="51"/>
      <c r="E65" s="52"/>
      <c r="H65" s="58">
        <v>0.0176</v>
      </c>
      <c r="I65" s="59">
        <v>0.77</v>
      </c>
      <c r="J65" s="28"/>
      <c r="K65" s="53"/>
      <c r="L65" s="52"/>
      <c r="M65" s="28"/>
    </row>
    <row r="66" spans="1:13" ht="12.75">
      <c r="A66" s="68">
        <v>0.00783</v>
      </c>
      <c r="B66" s="59">
        <v>0.77</v>
      </c>
      <c r="C66" s="28"/>
      <c r="D66" s="51"/>
      <c r="E66" s="52"/>
      <c r="H66" s="58">
        <v>0.0183</v>
      </c>
      <c r="I66" s="59">
        <v>0.76</v>
      </c>
      <c r="J66" s="28"/>
      <c r="K66" s="53"/>
      <c r="L66" s="52"/>
      <c r="M66" s="28"/>
    </row>
    <row r="67" spans="1:13" ht="12.75">
      <c r="A67" s="68">
        <v>0.00851</v>
      </c>
      <c r="B67" s="59">
        <v>0.76</v>
      </c>
      <c r="C67" s="28"/>
      <c r="D67" s="51"/>
      <c r="E67" s="52"/>
      <c r="H67" s="58">
        <v>0.0189</v>
      </c>
      <c r="I67" s="59">
        <v>0.75</v>
      </c>
      <c r="J67" s="28"/>
      <c r="K67" s="53"/>
      <c r="L67" s="52"/>
      <c r="M67" s="28"/>
    </row>
    <row r="68" spans="1:13" ht="12.75">
      <c r="A68" s="68">
        <v>0.00918</v>
      </c>
      <c r="B68" s="59">
        <v>0.75</v>
      </c>
      <c r="C68" s="28"/>
      <c r="D68" s="51"/>
      <c r="E68" s="52"/>
      <c r="H68" s="58">
        <v>0.0196</v>
      </c>
      <c r="I68" s="59">
        <v>0.74</v>
      </c>
      <c r="J68" s="28"/>
      <c r="K68" s="53"/>
      <c r="L68" s="52"/>
      <c r="M68" s="28"/>
    </row>
    <row r="69" spans="1:13" ht="12.75">
      <c r="A69" s="68">
        <v>0.0101</v>
      </c>
      <c r="B69" s="59">
        <v>0.74</v>
      </c>
      <c r="C69" s="28"/>
      <c r="D69" s="51"/>
      <c r="E69" s="52"/>
      <c r="H69" s="58">
        <v>0.0203</v>
      </c>
      <c r="I69" s="59">
        <v>0.73</v>
      </c>
      <c r="J69" s="28"/>
      <c r="K69" s="53"/>
      <c r="L69" s="52"/>
      <c r="M69" s="28"/>
    </row>
    <row r="70" spans="1:13" ht="12.75">
      <c r="A70" s="68">
        <v>0.011</v>
      </c>
      <c r="B70" s="59">
        <v>0.73</v>
      </c>
      <c r="C70" s="28"/>
      <c r="D70" s="51"/>
      <c r="E70" s="52"/>
      <c r="H70" s="58">
        <v>0.0209</v>
      </c>
      <c r="I70" s="59">
        <v>0.72</v>
      </c>
      <c r="J70" s="28"/>
      <c r="K70" s="53"/>
      <c r="L70" s="52"/>
      <c r="M70" s="28"/>
    </row>
    <row r="71" spans="1:13" ht="12.75">
      <c r="A71" s="68">
        <v>0.012</v>
      </c>
      <c r="B71" s="59">
        <v>0.72</v>
      </c>
      <c r="C71" s="28"/>
      <c r="D71" s="51"/>
      <c r="E71" s="52"/>
      <c r="H71" s="58">
        <v>0.0216</v>
      </c>
      <c r="I71" s="59">
        <v>0.71</v>
      </c>
      <c r="J71" s="28"/>
      <c r="K71" s="53"/>
      <c r="L71" s="52"/>
      <c r="M71" s="28"/>
    </row>
    <row r="72" spans="1:13" ht="12.75">
      <c r="A72" s="68">
        <v>0.0129</v>
      </c>
      <c r="B72" s="59">
        <v>0.71</v>
      </c>
      <c r="C72" s="28"/>
      <c r="D72" s="51"/>
      <c r="E72" s="52"/>
      <c r="H72" s="58">
        <v>0.0223</v>
      </c>
      <c r="I72" s="59">
        <v>0.7</v>
      </c>
      <c r="J72" s="28"/>
      <c r="K72" s="53"/>
      <c r="L72" s="52"/>
      <c r="M72" s="28"/>
    </row>
    <row r="73" spans="1:13" ht="12.75">
      <c r="A73" s="68">
        <v>0.0138</v>
      </c>
      <c r="B73" s="59">
        <v>0.7</v>
      </c>
      <c r="C73" s="28"/>
      <c r="D73" s="51"/>
      <c r="E73" s="52"/>
      <c r="H73" s="58">
        <v>0.0231</v>
      </c>
      <c r="I73" s="59">
        <v>0.69</v>
      </c>
      <c r="J73" s="28"/>
      <c r="K73" s="53"/>
      <c r="L73" s="52"/>
      <c r="M73" s="28"/>
    </row>
    <row r="74" spans="1:13" ht="12.75">
      <c r="A74" s="68">
        <v>0.0149</v>
      </c>
      <c r="B74" s="59">
        <v>0.69</v>
      </c>
      <c r="C74" s="28"/>
      <c r="D74" s="51"/>
      <c r="E74" s="52"/>
      <c r="H74" s="58">
        <v>0.0238</v>
      </c>
      <c r="I74" s="59">
        <v>0.68</v>
      </c>
      <c r="J74" s="28"/>
      <c r="K74" s="53"/>
      <c r="L74" s="52"/>
      <c r="M74" s="28"/>
    </row>
    <row r="75" spans="1:13" ht="12.75">
      <c r="A75" s="68">
        <v>0.016</v>
      </c>
      <c r="B75" s="59">
        <v>0.68</v>
      </c>
      <c r="C75" s="28"/>
      <c r="D75" s="51"/>
      <c r="E75" s="52"/>
      <c r="H75" s="58">
        <v>0.0246</v>
      </c>
      <c r="I75" s="59">
        <v>0.67</v>
      </c>
      <c r="J75" s="28"/>
      <c r="K75" s="53"/>
      <c r="L75" s="52"/>
      <c r="M75" s="28"/>
    </row>
    <row r="76" spans="1:13" ht="12.75">
      <c r="A76" s="68">
        <v>0.0172</v>
      </c>
      <c r="B76" s="59">
        <v>0.67</v>
      </c>
      <c r="C76" s="28"/>
      <c r="D76" s="51"/>
      <c r="E76" s="52"/>
      <c r="H76" s="58">
        <v>0.0254</v>
      </c>
      <c r="I76" s="59">
        <v>0.66</v>
      </c>
      <c r="J76" s="28"/>
      <c r="K76" s="53"/>
      <c r="L76" s="52"/>
      <c r="M76" s="28"/>
    </row>
    <row r="77" spans="1:13" ht="12.75">
      <c r="A77" s="68">
        <v>0.0183</v>
      </c>
      <c r="B77" s="59">
        <v>0.66</v>
      </c>
      <c r="C77" s="28"/>
      <c r="D77" s="51"/>
      <c r="E77" s="52"/>
      <c r="H77" s="58">
        <v>0.0262</v>
      </c>
      <c r="I77" s="59">
        <v>0.65</v>
      </c>
      <c r="J77" s="28"/>
      <c r="K77" s="53"/>
      <c r="L77" s="52"/>
      <c r="M77" s="28"/>
    </row>
    <row r="78" spans="1:13" ht="12.75">
      <c r="A78" s="68">
        <v>0.0194</v>
      </c>
      <c r="B78" s="59">
        <v>0.65</v>
      </c>
      <c r="C78" s="28"/>
      <c r="D78" s="51"/>
      <c r="E78" s="52"/>
      <c r="H78" s="58">
        <v>0.0269</v>
      </c>
      <c r="I78" s="59">
        <v>0.64</v>
      </c>
      <c r="J78" s="28"/>
      <c r="K78" s="53"/>
      <c r="L78" s="52"/>
      <c r="M78" s="28"/>
    </row>
    <row r="79" spans="1:13" ht="12.75">
      <c r="A79" s="68">
        <v>0.0214</v>
      </c>
      <c r="B79" s="59">
        <v>0.64</v>
      </c>
      <c r="C79" s="28"/>
      <c r="D79" s="51"/>
      <c r="E79" s="52"/>
      <c r="H79" s="58">
        <v>0.0277</v>
      </c>
      <c r="I79" s="59">
        <v>0.63</v>
      </c>
      <c r="J79" s="28"/>
      <c r="K79" s="53"/>
      <c r="L79" s="52"/>
      <c r="M79" s="28"/>
    </row>
    <row r="80" spans="1:13" ht="12.75">
      <c r="A80" s="68">
        <v>0.0233</v>
      </c>
      <c r="B80" s="59">
        <v>0.63</v>
      </c>
      <c r="C80" s="28"/>
      <c r="D80" s="51"/>
      <c r="E80" s="52"/>
      <c r="H80" s="58">
        <v>0.0285</v>
      </c>
      <c r="I80" s="59">
        <v>0.62</v>
      </c>
      <c r="J80" s="28"/>
      <c r="K80" s="53"/>
      <c r="L80" s="52"/>
      <c r="M80" s="28"/>
    </row>
    <row r="81" spans="1:13" ht="12.75">
      <c r="A81" s="68">
        <v>0.0253</v>
      </c>
      <c r="B81" s="59">
        <v>0.62</v>
      </c>
      <c r="C81" s="28"/>
      <c r="D81" s="51"/>
      <c r="E81" s="52"/>
      <c r="H81" s="58">
        <v>0.0293</v>
      </c>
      <c r="I81" s="59">
        <v>0.61</v>
      </c>
      <c r="J81" s="28"/>
      <c r="K81" s="53"/>
      <c r="L81" s="52"/>
      <c r="M81" s="28"/>
    </row>
    <row r="82" spans="1:13" ht="12.75">
      <c r="A82" s="68">
        <v>0.0273</v>
      </c>
      <c r="B82" s="59">
        <v>0.61</v>
      </c>
      <c r="C82" s="28"/>
      <c r="D82" s="51"/>
      <c r="E82" s="52"/>
      <c r="H82" s="58">
        <v>0.0301</v>
      </c>
      <c r="I82" s="59">
        <v>0.6</v>
      </c>
      <c r="J82" s="28"/>
      <c r="K82" s="53"/>
      <c r="L82" s="52"/>
      <c r="M82" s="28"/>
    </row>
    <row r="83" spans="1:13" ht="12.75">
      <c r="A83" s="68">
        <v>0.0292</v>
      </c>
      <c r="B83" s="59">
        <v>0.6</v>
      </c>
      <c r="C83" s="28"/>
      <c r="D83" s="51"/>
      <c r="E83" s="52"/>
      <c r="H83" s="58">
        <v>0.0311</v>
      </c>
      <c r="I83" s="59">
        <v>0.59</v>
      </c>
      <c r="J83" s="28"/>
      <c r="K83" s="53"/>
      <c r="L83" s="52"/>
      <c r="M83" s="28"/>
    </row>
    <row r="84" spans="1:13" ht="12.75">
      <c r="A84" s="68">
        <v>0.0317</v>
      </c>
      <c r="B84" s="59">
        <v>0.59</v>
      </c>
      <c r="C84" s="28"/>
      <c r="D84" s="51"/>
      <c r="E84" s="52"/>
      <c r="H84" s="58">
        <v>0.0321</v>
      </c>
      <c r="I84" s="59">
        <v>0.58</v>
      </c>
      <c r="J84" s="28"/>
      <c r="K84" s="53"/>
      <c r="L84" s="52"/>
      <c r="M84" s="28"/>
    </row>
    <row r="85" spans="1:13" ht="12.75">
      <c r="A85" s="68">
        <v>0.0341</v>
      </c>
      <c r="B85" s="59">
        <v>0.58</v>
      </c>
      <c r="C85" s="28"/>
      <c r="D85" s="51"/>
      <c r="E85" s="52"/>
      <c r="H85" s="58">
        <v>0.0331</v>
      </c>
      <c r="I85" s="59">
        <v>0.57</v>
      </c>
      <c r="J85" s="28"/>
      <c r="K85" s="53"/>
      <c r="L85" s="52"/>
      <c r="M85" s="28"/>
    </row>
    <row r="86" spans="1:13" ht="12.75">
      <c r="A86" s="68">
        <v>0.365</v>
      </c>
      <c r="B86" s="59">
        <v>0.57</v>
      </c>
      <c r="C86" s="28"/>
      <c r="D86" s="51"/>
      <c r="E86" s="52"/>
      <c r="H86" s="58">
        <v>0.0341</v>
      </c>
      <c r="I86" s="59">
        <v>0.56</v>
      </c>
      <c r="J86" s="28"/>
      <c r="K86" s="53"/>
      <c r="L86" s="52"/>
      <c r="M86" s="28"/>
    </row>
    <row r="87" spans="1:13" ht="12.75">
      <c r="A87" s="68">
        <v>0.039</v>
      </c>
      <c r="B87" s="59">
        <v>0.56</v>
      </c>
      <c r="C87" s="28"/>
      <c r="D87" s="51"/>
      <c r="E87" s="52"/>
      <c r="H87" s="58">
        <v>0.0351</v>
      </c>
      <c r="I87" s="59">
        <v>0.55</v>
      </c>
      <c r="J87" s="28"/>
      <c r="K87" s="53"/>
      <c r="L87" s="52"/>
      <c r="M87" s="28"/>
    </row>
    <row r="88" spans="1:13" ht="12.75">
      <c r="A88" s="68">
        <v>0.0414</v>
      </c>
      <c r="B88" s="59">
        <v>0.55</v>
      </c>
      <c r="C88" s="28"/>
      <c r="D88" s="51"/>
      <c r="E88" s="52"/>
      <c r="H88" s="58">
        <v>0.0361</v>
      </c>
      <c r="I88" s="59">
        <v>0.54</v>
      </c>
      <c r="J88" s="28"/>
      <c r="K88" s="53"/>
      <c r="L88" s="52"/>
      <c r="M88" s="28"/>
    </row>
    <row r="89" spans="1:13" ht="12.75">
      <c r="A89" s="68">
        <v>0.0454</v>
      </c>
      <c r="B89" s="59">
        <v>0.54</v>
      </c>
      <c r="C89" s="28"/>
      <c r="D89" s="51"/>
      <c r="E89" s="52"/>
      <c r="H89" s="58">
        <v>0.0371</v>
      </c>
      <c r="I89" s="59">
        <v>0.53</v>
      </c>
      <c r="J89" s="28"/>
      <c r="K89" s="53"/>
      <c r="L89" s="52"/>
      <c r="M89" s="28"/>
    </row>
    <row r="90" spans="1:13" ht="12.75">
      <c r="A90" s="68">
        <v>0.0494</v>
      </c>
      <c r="B90" s="59">
        <v>0.53</v>
      </c>
      <c r="C90" s="28"/>
      <c r="D90" s="51"/>
      <c r="E90" s="52"/>
      <c r="H90" s="58">
        <v>0.0381</v>
      </c>
      <c r="I90" s="59">
        <v>0.52</v>
      </c>
      <c r="J90" s="28"/>
      <c r="K90" s="53"/>
      <c r="L90" s="52"/>
      <c r="M90" s="28"/>
    </row>
    <row r="91" spans="1:13" ht="12.75">
      <c r="A91" s="68">
        <v>0.0534</v>
      </c>
      <c r="B91" s="59">
        <v>0.52</v>
      </c>
      <c r="C91" s="28"/>
      <c r="D91" s="51"/>
      <c r="E91" s="52"/>
      <c r="H91" s="58">
        <v>0.0391</v>
      </c>
      <c r="I91" s="59">
        <v>0.51</v>
      </c>
      <c r="J91" s="28"/>
      <c r="K91" s="53"/>
      <c r="L91" s="52"/>
      <c r="M91" s="28"/>
    </row>
    <row r="92" spans="1:13" ht="12.75">
      <c r="A92" s="68">
        <v>0.0574</v>
      </c>
      <c r="B92" s="59">
        <v>0.51</v>
      </c>
      <c r="C92" s="28"/>
      <c r="D92" s="51"/>
      <c r="E92" s="52"/>
      <c r="H92" s="58">
        <v>0.0401</v>
      </c>
      <c r="I92" s="59">
        <v>0.5</v>
      </c>
      <c r="J92" s="28"/>
      <c r="K92" s="53"/>
      <c r="L92" s="52"/>
      <c r="M92" s="28"/>
    </row>
    <row r="93" spans="1:13" ht="12.75">
      <c r="A93" s="68">
        <v>0.0614</v>
      </c>
      <c r="B93" s="59">
        <v>0.5</v>
      </c>
      <c r="C93" s="28"/>
      <c r="D93" s="51"/>
      <c r="E93" s="52"/>
      <c r="H93" s="58">
        <v>0.041</v>
      </c>
      <c r="I93" s="59">
        <v>0.49</v>
      </c>
      <c r="J93" s="28"/>
      <c r="K93" s="53"/>
      <c r="L93" s="52"/>
      <c r="M93" s="28"/>
    </row>
    <row r="94" spans="1:13" ht="12.75">
      <c r="A94" s="68">
        <v>0.0671</v>
      </c>
      <c r="B94" s="59">
        <v>0.49</v>
      </c>
      <c r="C94" s="28"/>
      <c r="D94" s="51"/>
      <c r="E94" s="52"/>
      <c r="H94" s="58">
        <v>0.0419</v>
      </c>
      <c r="I94" s="59">
        <v>0.48</v>
      </c>
      <c r="J94" s="28"/>
      <c r="K94" s="53"/>
      <c r="L94" s="52"/>
      <c r="M94" s="28"/>
    </row>
    <row r="95" spans="1:13" ht="12.75">
      <c r="A95" s="68">
        <v>0.0728</v>
      </c>
      <c r="B95" s="59">
        <v>0.48</v>
      </c>
      <c r="C95" s="28"/>
      <c r="D95" s="51"/>
      <c r="E95" s="52"/>
      <c r="H95" s="58">
        <v>0.0428</v>
      </c>
      <c r="I95" s="59">
        <v>0.47</v>
      </c>
      <c r="J95" s="28"/>
      <c r="K95" s="53"/>
      <c r="L95" s="52"/>
      <c r="M95" s="28"/>
    </row>
    <row r="96" spans="1:13" ht="12.75">
      <c r="A96" s="68">
        <v>0.0786</v>
      </c>
      <c r="B96" s="59">
        <v>0.47</v>
      </c>
      <c r="C96" s="28"/>
      <c r="D96" s="51"/>
      <c r="E96" s="52"/>
      <c r="H96" s="58">
        <v>0.0437</v>
      </c>
      <c r="I96" s="59">
        <v>0.46</v>
      </c>
      <c r="J96" s="28"/>
      <c r="K96" s="53"/>
      <c r="L96" s="52"/>
      <c r="M96" s="28"/>
    </row>
    <row r="97" spans="1:13" ht="12.75">
      <c r="A97" s="68">
        <v>0.0843</v>
      </c>
      <c r="B97" s="59">
        <v>0.46</v>
      </c>
      <c r="C97" s="28"/>
      <c r="D97" s="51"/>
      <c r="E97" s="52"/>
      <c r="H97" s="58">
        <v>0.0445</v>
      </c>
      <c r="I97" s="59">
        <v>0.45</v>
      </c>
      <c r="J97" s="28"/>
      <c r="K97" s="53"/>
      <c r="L97" s="52"/>
      <c r="M97" s="28"/>
    </row>
    <row r="98" spans="1:13" ht="12.75">
      <c r="A98" s="68">
        <v>0.09</v>
      </c>
      <c r="B98" s="59">
        <v>0.45</v>
      </c>
      <c r="C98" s="28"/>
      <c r="D98" s="51"/>
      <c r="E98" s="52"/>
      <c r="H98" s="58">
        <v>0.0454</v>
      </c>
      <c r="I98" s="59">
        <v>0.44</v>
      </c>
      <c r="J98" s="28"/>
      <c r="K98" s="53"/>
      <c r="L98" s="52"/>
      <c r="M98" s="28"/>
    </row>
    <row r="99" spans="1:13" ht="12.75">
      <c r="A99" s="68">
        <v>0.0998</v>
      </c>
      <c r="B99" s="59">
        <v>0.44</v>
      </c>
      <c r="C99" s="28"/>
      <c r="D99" s="51"/>
      <c r="E99" s="52"/>
      <c r="H99" s="58">
        <v>0.0463</v>
      </c>
      <c r="I99" s="59">
        <v>0.43</v>
      </c>
      <c r="J99" s="28"/>
      <c r="K99" s="53"/>
      <c r="L99" s="52"/>
      <c r="M99" s="28"/>
    </row>
    <row r="100" spans="1:13" ht="12.75">
      <c r="A100" s="68">
        <v>0.11</v>
      </c>
      <c r="B100" s="59">
        <v>0.43</v>
      </c>
      <c r="C100" s="28"/>
      <c r="D100" s="51"/>
      <c r="E100" s="52"/>
      <c r="H100" s="58">
        <v>0.0472</v>
      </c>
      <c r="I100" s="59">
        <v>0.42</v>
      </c>
      <c r="J100" s="28"/>
      <c r="K100" s="53"/>
      <c r="L100" s="52"/>
      <c r="M100" s="28"/>
    </row>
    <row r="101" spans="1:13" ht="12.75">
      <c r="A101" s="68">
        <v>0.119</v>
      </c>
      <c r="B101" s="59">
        <v>0.42</v>
      </c>
      <c r="C101" s="28"/>
      <c r="D101" s="51"/>
      <c r="E101" s="52"/>
      <c r="H101" s="58">
        <v>0.0481</v>
      </c>
      <c r="I101" s="59">
        <v>0.41</v>
      </c>
      <c r="J101" s="28"/>
      <c r="K101" s="53"/>
      <c r="L101" s="52"/>
      <c r="M101" s="28"/>
    </row>
    <row r="102" spans="1:13" ht="13.5" thickBot="1">
      <c r="A102" s="68">
        <v>0.129</v>
      </c>
      <c r="B102" s="59">
        <v>0.41</v>
      </c>
      <c r="C102" s="28"/>
      <c r="D102" s="51"/>
      <c r="E102" s="52"/>
      <c r="H102" s="61">
        <v>0.049</v>
      </c>
      <c r="I102" s="62">
        <v>0.4</v>
      </c>
      <c r="J102" s="28"/>
      <c r="K102" s="53"/>
      <c r="L102" s="52"/>
      <c r="M102" s="28"/>
    </row>
    <row r="103" spans="1:13" ht="13.5" thickBot="1">
      <c r="A103" s="70">
        <v>0.139</v>
      </c>
      <c r="B103" s="62">
        <v>0.4</v>
      </c>
      <c r="C103" s="28"/>
      <c r="D103" s="51"/>
      <c r="E103" s="52"/>
      <c r="J103" s="28"/>
      <c r="K103" s="51"/>
      <c r="L103" s="52"/>
      <c r="M103" s="28"/>
    </row>
    <row r="104" spans="3:13" ht="12.75">
      <c r="C104" s="28"/>
      <c r="D104" s="28"/>
      <c r="E104" s="28"/>
      <c r="H104" s="50"/>
      <c r="I104" s="18"/>
      <c r="J104" s="28"/>
      <c r="K104" s="53"/>
      <c r="L104" s="52"/>
      <c r="M104" s="28"/>
    </row>
    <row r="105" spans="10:13" ht="12.75">
      <c r="J105" s="28"/>
      <c r="K105" s="28"/>
      <c r="L105" s="28"/>
      <c r="M105" s="28"/>
    </row>
  </sheetData>
  <mergeCells count="8">
    <mergeCell ref="H24:I24"/>
    <mergeCell ref="K24:L24"/>
    <mergeCell ref="H41:I41"/>
    <mergeCell ref="K41:L41"/>
    <mergeCell ref="A24:B24"/>
    <mergeCell ref="D24:E24"/>
    <mergeCell ref="A41:B41"/>
    <mergeCell ref="D41:E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